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\\cetus\econ$\ОУУОДиПУ\Сайт\_Отдел управленческого учета образовательной деятельности и прочих услуг\Обучение\"/>
    </mc:Choice>
  </mc:AlternateContent>
  <xr:revisionPtr revIDLastSave="0" documentId="13_ncr:1_{6AA61838-0785-4D3B-A717-3C0A712C4F1F}" xr6:coauthVersionLast="47" xr6:coauthVersionMax="47" xr10:uidLastSave="{00000000-0000-0000-0000-000000000000}"/>
  <bookViews>
    <workbookView xWindow="-120" yWindow="-120" windowWidth="29040" windowHeight="15840" tabRatio="887" firstSheet="1" activeTab="8" xr2:uid="{00000000-000D-0000-FFFF-FFFF00000000}"/>
  </bookViews>
  <sheets>
    <sheet name="Инструкция по сост-ю Смет" sheetId="35" r:id="rId1"/>
    <sheet name="1. Выпуск. кафедра" sheetId="1" r:id="rId2"/>
    <sheet name="2. Невып. кафедра" sheetId="59" r:id="rId3"/>
    <sheet name="3. ДООПиДПП" sheetId="12" r:id="rId4"/>
    <sheet name="4. ДООП сет. (СПбПУ участник)" sheetId="55" r:id="rId5"/>
    <sheet name="5. ДООП сет. (СПбПУ база)" sheetId="53" r:id="rId6"/>
    <sheet name="6. Дирекция" sheetId="6" r:id="rId7"/>
    <sheet name="7. ОПОП ВО сет. (СПбПУ уч.)" sheetId="50" r:id="rId8"/>
    <sheet name="8. ОПОП ВО сет. (СПбПУ база)" sheetId="58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39" i="50" l="1"/>
  <c r="E29" i="6"/>
  <c r="E38" i="53"/>
  <c r="E36" i="55"/>
  <c r="E36" i="12"/>
  <c r="E34" i="59"/>
  <c r="E33" i="59"/>
  <c r="E18" i="59"/>
  <c r="E38" i="1"/>
  <c r="G30" i="59" l="1"/>
  <c r="D25" i="59"/>
  <c r="G25" i="59" s="1"/>
  <c r="G21" i="59"/>
  <c r="D20" i="59"/>
  <c r="D35" i="59" s="1"/>
  <c r="E19" i="59"/>
  <c r="E25" i="59" l="1"/>
  <c r="E24" i="59"/>
  <c r="E23" i="59"/>
  <c r="E22" i="59"/>
  <c r="E26" i="59"/>
  <c r="E21" i="59"/>
  <c r="E30" i="59"/>
  <c r="E29" i="59"/>
  <c r="E32" i="59"/>
  <c r="E31" i="59"/>
  <c r="E28" i="59"/>
  <c r="E27" i="59"/>
  <c r="G20" i="59"/>
  <c r="E20" i="59" l="1"/>
  <c r="E35" i="59" s="1"/>
  <c r="D30" i="1" l="1"/>
  <c r="G30" i="1" s="1"/>
  <c r="G35" i="1"/>
  <c r="G26" i="1"/>
  <c r="D20" i="1"/>
  <c r="E19" i="1"/>
  <c r="E18" i="1"/>
  <c r="E22" i="1" s="1"/>
  <c r="D25" i="1" l="1"/>
  <c r="D39" i="1" s="1"/>
  <c r="E23" i="1"/>
  <c r="E24" i="1" s="1"/>
  <c r="E20" i="1"/>
  <c r="G17" i="1" l="1"/>
  <c r="G25" i="1"/>
  <c r="E34" i="1"/>
  <c r="E33" i="1"/>
  <c r="E32" i="1"/>
  <c r="E31" i="1"/>
  <c r="E30" i="1"/>
  <c r="E29" i="1"/>
  <c r="E28" i="1"/>
  <c r="E27" i="1"/>
  <c r="E37" i="1"/>
  <c r="E26" i="1"/>
  <c r="E36" i="1"/>
  <c r="E35" i="1"/>
  <c r="E25" i="1" l="1"/>
  <c r="E39" i="1" s="1"/>
  <c r="G24" i="12"/>
  <c r="E18" i="6"/>
  <c r="D28" i="58"/>
  <c r="G28" i="58" s="1"/>
  <c r="D23" i="58"/>
  <c r="G23" i="58" s="1"/>
  <c r="D21" i="58"/>
  <c r="E19" i="58"/>
  <c r="E20" i="58" s="1"/>
  <c r="E21" i="58" s="1"/>
  <c r="E22" i="58" s="1"/>
  <c r="E36" i="58" s="1"/>
  <c r="D18" i="58"/>
  <c r="D30" i="53"/>
  <c r="D23" i="55"/>
  <c r="G33" i="55"/>
  <c r="D28" i="55"/>
  <c r="G28" i="55"/>
  <c r="G24" i="55"/>
  <c r="D21" i="55"/>
  <c r="E20" i="55"/>
  <c r="E21" i="55" s="1"/>
  <c r="E22" i="55" s="1"/>
  <c r="D25" i="53"/>
  <c r="D23" i="53"/>
  <c r="E21" i="53"/>
  <c r="E22" i="53" s="1"/>
  <c r="D20" i="53"/>
  <c r="D31" i="50"/>
  <c r="G31" i="50"/>
  <c r="D28" i="12"/>
  <c r="D21" i="6"/>
  <c r="D17" i="6" s="1"/>
  <c r="D31" i="6" s="1"/>
  <c r="G36" i="50"/>
  <c r="G26" i="6"/>
  <c r="G33" i="12"/>
  <c r="G27" i="50"/>
  <c r="G18" i="6"/>
  <c r="E18" i="50"/>
  <c r="D17" i="50"/>
  <c r="E17" i="50"/>
  <c r="E20" i="50" s="1"/>
  <c r="D21" i="12"/>
  <c r="E20" i="12"/>
  <c r="E21" i="12" s="1"/>
  <c r="E22" i="12" s="1"/>
  <c r="D26" i="50"/>
  <c r="G16" i="50" s="1"/>
  <c r="G28" i="12"/>
  <c r="D23" i="12"/>
  <c r="G23" i="12" s="1"/>
  <c r="G30" i="53"/>
  <c r="E32" i="58" l="1"/>
  <c r="E24" i="58"/>
  <c r="E35" i="58"/>
  <c r="E33" i="58"/>
  <c r="E27" i="58"/>
  <c r="E26" i="58"/>
  <c r="E25" i="58"/>
  <c r="E29" i="58"/>
  <c r="E31" i="58"/>
  <c r="E34" i="58"/>
  <c r="E30" i="58"/>
  <c r="E28" i="58"/>
  <c r="G17" i="58"/>
  <c r="D19" i="58"/>
  <c r="D37" i="58"/>
  <c r="E23" i="50"/>
  <c r="E24" i="50" s="1"/>
  <c r="G26" i="50"/>
  <c r="D41" i="50"/>
  <c r="E19" i="50"/>
  <c r="G17" i="6"/>
  <c r="G21" i="6"/>
  <c r="G25" i="53"/>
  <c r="G19" i="53"/>
  <c r="D39" i="53"/>
  <c r="D21" i="53"/>
  <c r="E23" i="53"/>
  <c r="E24" i="53" s="1"/>
  <c r="E30" i="55"/>
  <c r="E25" i="55"/>
  <c r="E24" i="55"/>
  <c r="E29" i="55"/>
  <c r="E35" i="55"/>
  <c r="E28" i="55"/>
  <c r="E26" i="55"/>
  <c r="E32" i="55"/>
  <c r="E27" i="55"/>
  <c r="E31" i="55"/>
  <c r="E37" i="55"/>
  <c r="E34" i="55"/>
  <c r="E33" i="55"/>
  <c r="G23" i="55"/>
  <c r="D38" i="55"/>
  <c r="G19" i="55"/>
  <c r="E25" i="12"/>
  <c r="E26" i="12"/>
  <c r="E24" i="12"/>
  <c r="E27" i="12"/>
  <c r="E29" i="12"/>
  <c r="E31" i="12"/>
  <c r="E33" i="12"/>
  <c r="E30" i="12"/>
  <c r="E32" i="12"/>
  <c r="E28" i="12"/>
  <c r="E34" i="12"/>
  <c r="E37" i="12"/>
  <c r="E23" i="12" s="1"/>
  <c r="E38" i="12" s="1"/>
  <c r="E35" i="12"/>
  <c r="G19" i="12"/>
  <c r="D38" i="12"/>
  <c r="E20" i="6"/>
  <c r="E23" i="6"/>
  <c r="E30" i="6"/>
  <c r="E27" i="6"/>
  <c r="E22" i="6"/>
  <c r="E21" i="6"/>
  <c r="E26" i="6"/>
  <c r="E25" i="6"/>
  <c r="E24" i="6"/>
  <c r="E19" i="6"/>
  <c r="E28" i="6"/>
  <c r="E23" i="58" l="1"/>
  <c r="E37" i="58" s="1"/>
  <c r="E25" i="50"/>
  <c r="E33" i="53"/>
  <c r="E26" i="53"/>
  <c r="E35" i="53"/>
  <c r="E29" i="53"/>
  <c r="E27" i="53"/>
  <c r="E36" i="53"/>
  <c r="E30" i="53"/>
  <c r="E37" i="53"/>
  <c r="E28" i="53"/>
  <c r="E34" i="53"/>
  <c r="E32" i="53"/>
  <c r="E31" i="53"/>
  <c r="E23" i="55"/>
  <c r="E38" i="55" s="1"/>
  <c r="E17" i="6"/>
  <c r="E31" i="6" s="1"/>
  <c r="E28" i="50" l="1"/>
  <c r="E35" i="50"/>
  <c r="E30" i="50"/>
  <c r="E40" i="50"/>
  <c r="E27" i="50"/>
  <c r="E31" i="50"/>
  <c r="E29" i="50"/>
  <c r="E33" i="50"/>
  <c r="E32" i="50"/>
  <c r="E38" i="50"/>
  <c r="E36" i="50"/>
  <c r="E34" i="50"/>
  <c r="E37" i="50"/>
  <c r="E25" i="53"/>
  <c r="E39" i="53" s="1"/>
  <c r="E26" i="50" l="1"/>
  <c r="E41" i="50" s="1"/>
</calcChain>
</file>

<file path=xl/sharedStrings.xml><?xml version="1.0" encoding="utf-8"?>
<sst xmlns="http://schemas.openxmlformats.org/spreadsheetml/2006/main" count="364" uniqueCount="156">
  <si>
    <t>УТВЕРЖДАЮ</t>
  </si>
  <si>
    <t>Смета</t>
  </si>
  <si>
    <t xml:space="preserve"> доходов и расходов по приносящей доход образовательной деятельности</t>
  </si>
  <si>
    <t>ПОКАЗАТЕЛИ</t>
  </si>
  <si>
    <t>Доля в общих расходах, %</t>
  </si>
  <si>
    <t>Сумма, руб</t>
  </si>
  <si>
    <t xml:space="preserve"> Сумма, руб.</t>
  </si>
  <si>
    <t>по дирекции</t>
  </si>
  <si>
    <t>________________</t>
  </si>
  <si>
    <t>Директор _____________</t>
  </si>
  <si>
    <t xml:space="preserve">института________  ФГАОУ ВО "СПбПУ" </t>
  </si>
  <si>
    <t xml:space="preserve">    расходов по приносящей доход образовательной деятельности</t>
  </si>
  <si>
    <t xml:space="preserve">5а. Поступления на невыпускающие кафедры:  </t>
  </si>
  <si>
    <t xml:space="preserve">8.1. Заработная плата  </t>
  </si>
  <si>
    <t xml:space="preserve">7. Сумма поступлений на ЛС подразделения (после всех отчислений и перераспределения учебной нагрузки)  </t>
  </si>
  <si>
    <t>*   -  для подразделений, заключающих договоры на данные виды услуг</t>
  </si>
  <si>
    <t>КОСГУ</t>
  </si>
  <si>
    <t>КВР</t>
  </si>
  <si>
    <t>п.5 – п.6</t>
  </si>
  <si>
    <t>(ОПОП ВО и СПО для российских граждан)</t>
  </si>
  <si>
    <t>1. Сумма поступлений на ЛС Дирекции</t>
  </si>
  <si>
    <t xml:space="preserve">2.1. Заработная плата  </t>
  </si>
  <si>
    <t>2. Расход Дирекции по статьям  (=п.1)</t>
  </si>
  <si>
    <t xml:space="preserve">4.Сумма к перераспределению по учебным планам (УП): п.1 – п.2 – п.3 </t>
  </si>
  <si>
    <t>__________________________</t>
  </si>
  <si>
    <t>название программы</t>
  </si>
  <si>
    <t>1.Планируемый доход (для К, ВШ)</t>
  </si>
  <si>
    <t>Директор института ________</t>
  </si>
  <si>
    <t>Должность                              подпись                            ФИО</t>
  </si>
  <si>
    <r>
      <t xml:space="preserve">(Руководитель ЦФО)     </t>
    </r>
    <r>
      <rPr>
        <sz val="6"/>
        <rFont val="Times New Roman"/>
        <family val="1"/>
        <charset val="204"/>
      </rPr>
      <t>№ ЦФО</t>
    </r>
  </si>
  <si>
    <t>___________________________________________________________________________</t>
  </si>
  <si>
    <t xml:space="preserve">3. Прямые поступления (на К, ВШ, ДирОП)                                     </t>
  </si>
  <si>
    <t>по кафедре (К), высшей школе (ВШ), дирекции образовательных программ (ДирОП)</t>
  </si>
  <si>
    <t>5. Расход подразделения</t>
  </si>
  <si>
    <t xml:space="preserve">                                                                                                            должность                                                подпись                                             ФИО</t>
  </si>
  <si>
    <t xml:space="preserve"> (норматив утверждается Советом Института,% от п.5) </t>
  </si>
  <si>
    <t xml:space="preserve">                                                                                                            должность                                                 подпись                                           ФИО</t>
  </si>
  <si>
    <t>6. Отчисления на общеинститутские мероприятия</t>
  </si>
  <si>
    <t>8. Расход подразделения по статьям КОСГУ (= п.7)</t>
  </si>
  <si>
    <t xml:space="preserve">                                                                                                            должность                                                подпись                                            ФИО</t>
  </si>
  <si>
    <t>"___"________________20__г.</t>
  </si>
  <si>
    <t>"___"________________20___г.</t>
  </si>
  <si>
    <t>"___"________________20___ г.</t>
  </si>
  <si>
    <r>
      <t xml:space="preserve">8.2. Иные выплаты </t>
    </r>
    <r>
      <rPr>
        <sz val="8"/>
        <rFont val="Times New Roman"/>
        <family val="1"/>
        <charset val="204"/>
      </rPr>
      <t xml:space="preserve"> (суточные персоналу)</t>
    </r>
  </si>
  <si>
    <t>Руководитель лицевого счета               _______________  ________________                ____________</t>
  </si>
  <si>
    <t>Руководитель лицевого счета             _______________  ________________               ____________</t>
  </si>
  <si>
    <t>2. Отчисления в Централизованный фонд (ЦФ) на общехозяйственные расходы (для К, ВШ)</t>
  </si>
  <si>
    <t>Номер лицевого счета: 12____________</t>
  </si>
  <si>
    <t>2.4. Начисления на выплаты по оплате труда  (30,2%)</t>
  </si>
  <si>
    <t>2.5. Услуги связи</t>
  </si>
  <si>
    <t>2.6. Транспортные услуги</t>
  </si>
  <si>
    <t>2.7. Коммунальные услуги*</t>
  </si>
  <si>
    <t>2.8. Арендная плата за пользование имуществом</t>
  </si>
  <si>
    <t>2.9. Работы, услуги по содержанию имущества</t>
  </si>
  <si>
    <t>2.10. Прочие работы, услуги</t>
  </si>
  <si>
    <t>2.11.Увеличение стоимости основных средств</t>
  </si>
  <si>
    <t>Номер лицевого счета: 12__________</t>
  </si>
  <si>
    <t>Номер лицевого счета: 12_____________</t>
  </si>
  <si>
    <t>Номер лицевого счета: 12_______</t>
  </si>
  <si>
    <r>
      <t xml:space="preserve">2.2. Иные выплаты </t>
    </r>
    <r>
      <rPr>
        <sz val="8"/>
        <rFont val="Times New Roman"/>
        <family val="1"/>
        <charset val="204"/>
      </rPr>
      <t xml:space="preserve"> (суточные персоналу)</t>
    </r>
  </si>
  <si>
    <t>2.3. Иные выплаты персоналу учреждений за исключением ФОТ (проезд и проживание персонала, командировочные, выдаваемые  преподавателям за студентов)</t>
  </si>
  <si>
    <r>
      <t>8.3. Иные выплаты персоналу учреждений за исключением ФОТ (проезд и проживание персонала, командировочные, выдаваемые  преподавателям за студентов</t>
    </r>
    <r>
      <rPr>
        <sz val="9"/>
        <rFont val="Times New Roman"/>
        <family val="1"/>
        <charset val="204"/>
      </rPr>
      <t>)</t>
    </r>
    <r>
      <rPr>
        <sz val="10"/>
        <rFont val="Times New Roman"/>
        <family val="1"/>
        <charset val="204"/>
      </rPr>
      <t xml:space="preserve"> </t>
    </r>
  </si>
  <si>
    <r>
      <t>8.4. Иные выплаты, за исключением ФОТ, лицам, привлекаемым согласно законодательству для выполнения отдельн.полномочий  (суточные, проезд и проживание студентов</t>
    </r>
    <r>
      <rPr>
        <sz val="9"/>
        <rFont val="Times New Roman"/>
        <family val="1"/>
        <charset val="204"/>
      </rPr>
      <t>)</t>
    </r>
  </si>
  <si>
    <t>8.5. Начисления на выплаты по оплате труда  (30,2%)</t>
  </si>
  <si>
    <t>8.6. Услуги связи</t>
  </si>
  <si>
    <t>8.7. Транспортные услуги</t>
  </si>
  <si>
    <t>8.8. Коммунальные услуги*</t>
  </si>
  <si>
    <t>8.9. Арендная плата за пользование имуществом</t>
  </si>
  <si>
    <t>8.10. Работы, услуги по содержанию имущества</t>
  </si>
  <si>
    <t>8.11. Прочие работы, услуги</t>
  </si>
  <si>
    <t>8.12.Увеличение стоимости основных средств</t>
  </si>
  <si>
    <r>
      <t xml:space="preserve">  </t>
    </r>
    <r>
      <rPr>
        <b/>
        <sz val="10"/>
        <rFont val="Bernard MT Condensed"/>
        <family val="1"/>
      </rPr>
      <t>+</t>
    </r>
    <r>
      <rPr>
        <sz val="10"/>
        <rFont val="Times New Roman"/>
        <family val="1"/>
        <charset val="204"/>
      </rPr>
      <t xml:space="preserve"> перераспределение по УП</t>
    </r>
  </si>
  <si>
    <t>Руководитель лицевого счета                  _______________  ________________   ____________</t>
  </si>
  <si>
    <t>(ДООП, ДПП ВО и СПО, ООП СОО, ОП ПО)</t>
  </si>
  <si>
    <t>по кафедре (высшей школе) института________,  ИСПО, ЕНЛ   ФГАОУ ВО "СПбПУ"</t>
  </si>
  <si>
    <t>** - статья 340 «Увеличение стоимости материальных запасов» КОСГУ детализируется подстатьями КОСГУ 341-347, 349. Значения столбцов 4,5 статьи 340 формируется путём сложения подстатей 341-347, 349 КОСГУ.</t>
  </si>
  <si>
    <t>8.13.Увеличение стоимости материальных запасов**</t>
  </si>
  <si>
    <t>2.12.Увеличение стоимости материальных запасов**</t>
  </si>
  <si>
    <t>223*</t>
  </si>
  <si>
    <t xml:space="preserve">1.Планируемый доход </t>
  </si>
  <si>
    <t xml:space="preserve">2. Отчисления в Централизованный фонд (ЦФ) на общехозяйственные расходы  </t>
  </si>
  <si>
    <t xml:space="preserve">3. Доход после отчислений в ЦФ </t>
  </si>
  <si>
    <t xml:space="preserve">4. Сумма поступлений на ЛС подразделения </t>
  </si>
  <si>
    <t xml:space="preserve">5.1. Заработная плата  </t>
  </si>
  <si>
    <t>5.4. Иные выплаты, за исключением ФОТ, лицам, привлекаемым согласно законодательству для выполнения отдельн. полномочий  (суточные, проезд и проживание студентов)</t>
  </si>
  <si>
    <t>5.5. Начисления на выплаты по оплате труда  (30,2%)</t>
  </si>
  <si>
    <t xml:space="preserve">5.6. Услуги связи </t>
  </si>
  <si>
    <t xml:space="preserve">5.7. Транспортные услуги </t>
  </si>
  <si>
    <t>5.8. Коммунальные услуги*</t>
  </si>
  <si>
    <t>5.9. Арендная плата за пользование имуществом</t>
  </si>
  <si>
    <t>5.10. Работы, услуги по содержанию имущества</t>
  </si>
  <si>
    <t xml:space="preserve">5.11. Прочие работы, услуги </t>
  </si>
  <si>
    <t xml:space="preserve">5.12.Увеличение стоимости основных средств </t>
  </si>
  <si>
    <t>5.13.Увеличение стоимости материальных запасов **</t>
  </si>
  <si>
    <t>п.3</t>
  </si>
  <si>
    <t>5.2. Иные выплаты (суточные персоналу)</t>
  </si>
  <si>
    <t xml:space="preserve">5.3. Иные выплаты персоналу учреждений за исключением ФОТ (проезд и проживание персонала, командировочные, выдаваемые  преподавателям за студентов) </t>
  </si>
  <si>
    <t>ВАЖНО: Столбцы 4, 5 по строке "ПРОВЕРКА" должны быть равны 0!</t>
  </si>
  <si>
    <t>ПРОВЕРКА</t>
  </si>
  <si>
    <t>(столбцы 4 и 5 должны быть равны 0)</t>
  </si>
  <si>
    <t>Номер лицевого счета: 52_______</t>
  </si>
  <si>
    <t>8.22.Стипендии</t>
  </si>
  <si>
    <t>5.22.Стипендии</t>
  </si>
  <si>
    <t>2.21.Стипендии</t>
  </si>
  <si>
    <t>Тел. для справок и консультаций: 552-27-34</t>
  </si>
  <si>
    <t>Отчисления</t>
  </si>
  <si>
    <t>Расходы</t>
  </si>
  <si>
    <t>ㅤㅤ• Общая сумма процентов по строке 8 "Расход подразделения по статьям" (колонка 4 Сметы) считается автоматически по формуле и должна быть равна 100,0%</t>
  </si>
  <si>
    <t>ㅤㅤ• Обращаем ваше внимание, что расчёт происходит исходя из стандартных процентов и планируемого дохода. В случае необходимости внесения определенной суммы под конкретный договор, разбивка по процентам (Столбец 4, "Доля в общих процентах") рассчитывается самостоятельно.</t>
  </si>
  <si>
    <t>Если смета не была предоставлена - вводится нормативная смета. Доход рассчитывается с учетом предыдущего периода.</t>
  </si>
  <si>
    <t>5. Поступления после отчислений в ЦФ и перераспределений по УП:
п.1 - п.2 + Принимаемая нагрузка — Передаваемая нагрузка (с учетом п.3)</t>
  </si>
  <si>
    <t>3. Поступление после отчисления соисполнителю</t>
  </si>
  <si>
    <t>ФГАОУ ВО "СПбПУ"</t>
  </si>
  <si>
    <t>Номер лицевого счета: 12________</t>
  </si>
  <si>
    <t>Инструкция по составлению Смет по образовательной деятельности на 2026 год</t>
  </si>
  <si>
    <t>Руководители структурных подразделений (лицевых счетов) при необходимости составляют индивидуальные сметы доходов и расходов по приносящей доход образовательной деятельности на 2026 финансовый год.</t>
  </si>
  <si>
    <t>ㅤㅤ• В строке 6 "Отчисления на общеинститутские мероприятия" указывается процент (колонка 4 Сметы), утвержденный Советом института на 2026 год. Расчет отчислений осуществляется по формулам автоматически.</t>
  </si>
  <si>
    <t xml:space="preserve">На следующих листах приведены шаблоны индивидуальных Смет (пример для двух подразделений - кафедр), утвержденных Приказом от 24.10.2026 № 3053 "Об утверждении регламента формирования и утверждения смет доходов и расходов по приносящей доход образовательной деятельности ФГАОУ ВО "СПбПУ" на 2026 год и внесения в них изменений" </t>
  </si>
  <si>
    <t>института_____________ ФГАОУ ВО "СПбПУ" на 2026 год</t>
  </si>
  <si>
    <t>на 2026 год</t>
  </si>
  <si>
    <t>ФГАОУ ВО "СПбПУ" на 2026 год</t>
  </si>
  <si>
    <t xml:space="preserve"> на 2026 год</t>
  </si>
  <si>
    <t>(ОПОП ВО на возмещение затрат по сетевой форме обучения (СПбПУ участник))</t>
  </si>
  <si>
    <t>Номер лицевого счета: 52_____________</t>
  </si>
  <si>
    <t>на 2026 год (ДОП, ДООП, ДПП на возмещение затрат по сетевой форме обучения (СПбПУ участник)</t>
  </si>
  <si>
    <t>(наименование структурного подразделения)</t>
  </si>
  <si>
    <t>на 2026 год (ДОП, ДООП, ДПП на возмещение затрат по сетевой форме обучения (СПбПУ база)</t>
  </si>
  <si>
    <t>2. Отчисление соисполнителю (% по условию договора)</t>
  </si>
  <si>
    <t>(ОПОП ВО на возмещение затрат по сетевой форме обучения для российских граждан, СПбПУ - база)</t>
  </si>
  <si>
    <t xml:space="preserve">4.Сумма к распределению по учебным планам (УП): п.1 – п.2 – п.3 </t>
  </si>
  <si>
    <t>4а. Перераспределение по УП</t>
  </si>
  <si>
    <r>
      <t xml:space="preserve">5. Поступления после отчислений в ЦФ и перераспределений по УП:
п.1 </t>
    </r>
    <r>
      <rPr>
        <b/>
        <sz val="10"/>
        <rFont val="Times New Roman"/>
        <family val="1"/>
        <charset val="204"/>
      </rPr>
      <t>-</t>
    </r>
    <r>
      <rPr>
        <sz val="10"/>
        <rFont val="Times New Roman"/>
        <family val="1"/>
        <charset val="204"/>
      </rPr>
      <t xml:space="preserve"> п.2 + п. 4а</t>
    </r>
  </si>
  <si>
    <t xml:space="preserve">6. Отчисления на общеинститутские мероприятия (норматив утверждается Советом Института,% от п.5) </t>
  </si>
  <si>
    <t>1. Перераспределение по УП</t>
  </si>
  <si>
    <t xml:space="preserve">3. Сумма поступлений на ЛС подразделения (после всех отчислений и перераспределения учебной нагрузки)  </t>
  </si>
  <si>
    <t>п.1 – п.2</t>
  </si>
  <si>
    <t xml:space="preserve">4.1. Заработная плата  </t>
  </si>
  <si>
    <t>4.2. Иные выплаты  (суточные персоналу)</t>
  </si>
  <si>
    <t xml:space="preserve">4.3. Иные выплаты персоналу учреждений за исключением ФОТ (проезд и проживание персонала, командировочные, выдаваемые  преподавателям за студентов) </t>
  </si>
  <si>
    <t>4.4. Иные выплаты, за исключением ФОТ, лицам, привлекаемым согласно законодательству для выполнения отдельн.полномочий  (суточные, проезд и проживание студентов)</t>
  </si>
  <si>
    <t>4.5. Начисления на выплаты по оплате труда  (30,2%)</t>
  </si>
  <si>
    <t>4.6. Услуги связи</t>
  </si>
  <si>
    <t>4.7. Транспортные услуги</t>
  </si>
  <si>
    <t>4.8. Коммунальные услуги*</t>
  </si>
  <si>
    <t>4.9. Арендная плата за пользование имуществом</t>
  </si>
  <si>
    <t>4.10. Работы, услуги по содержанию имущества</t>
  </si>
  <si>
    <t>4.11. Прочие работы, услуги</t>
  </si>
  <si>
    <t>4.12.Увеличение стоимости основных средств</t>
  </si>
  <si>
    <t>4.13.Увеличение стоимости материальных запасов**</t>
  </si>
  <si>
    <t>4.22.Стипендии</t>
  </si>
  <si>
    <t>4. Расход подразделения по статьям КОСГУ (= п.3)</t>
  </si>
  <si>
    <t xml:space="preserve">2. Отчисления на общеинститутские мероприятия
 (норматив утверждается Советом Института,% от п.1) </t>
  </si>
  <si>
    <t xml:space="preserve">ㅤㅤ• При составлении индивидуальных Смет по ОПОП (очная, оч-заоч,заочная формы обучения и аспирантура), ДОПП и ДПП в Сметах в строке "1.Планируемый доход" (колонка 5 Сметы) руководителем указывается сумма дохода на календарный 2026 год. (строки 2, 3, 4 рассчитываются автоматически) </t>
  </si>
  <si>
    <r>
      <t>ㅤㅤ• В приложении 1 (для выпуск.кафедр) в строке 4а. "Перераспределение по УП" - руководитель ставит расчетную сумму перераспределения учебной нагрузки</t>
    </r>
    <r>
      <rPr>
        <i/>
        <sz val="10"/>
        <rFont val="Arial Cyr"/>
        <charset val="204"/>
      </rPr>
      <t xml:space="preserve"> 
(Принимаемая нагрузка — Передаваемая нагрузка)</t>
    </r>
    <r>
      <rPr>
        <sz val="11"/>
        <rFont val="Arial Cyr"/>
        <charset val="204"/>
      </rPr>
      <t xml:space="preserve">
В приложении 2 (для невыпуск. кафедр), расчетная сумма перераспределения учебной нагрузки вносится в строку 1.</t>
    </r>
  </si>
  <si>
    <r>
      <t xml:space="preserve">Инструкция по запуску смет расположена по следующему пути: </t>
    </r>
    <r>
      <rPr>
        <i/>
        <sz val="10.5"/>
        <rFont val="Arial Cyr"/>
        <charset val="204"/>
      </rPr>
      <t>Административный каталог - Документы подразделений - Департамент экономики и финансов - Отдел управленческого учета образовательной деятельности и прочих услуг - Образовательная деятельность</t>
    </r>
    <r>
      <rPr>
        <b/>
        <sz val="10.5"/>
        <rFont val="Arial Cyr"/>
        <charset val="204"/>
      </rPr>
      <t xml:space="preserve"> - </t>
    </r>
    <r>
      <rPr>
        <b/>
        <i/>
        <sz val="10.5"/>
        <rFont val="Arial Cyr"/>
        <charset val="204"/>
      </rPr>
      <t>Инструкция по согласованию смет по образовательной деятельности в СЭД Directum</t>
    </r>
  </si>
  <si>
    <t xml:space="preserve">Сметы направляются через СЭД Directum в формате PDF и XLSX с помощью компоненты "Служебная записка"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</si>
</sst>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-* #,##0.00_р_._-;\-* #,##0.00_р_._-;_-* &quot;-&quot;??_р_._-;_-@_-"/>
    <numFmt numFmtId="165" formatCode="0.0"/>
    <numFmt numFmtId="166" formatCode="#,##0.0"/>
    <numFmt numFmtId="168" formatCode="#,##0.00\ &quot;₽&quot;"/>
    <numFmt numFmtId="169" formatCode="#,##0.00\ _₽"/>
    <numFmt numFmtId="170" formatCode="0.000000%"/>
    <numFmt numFmtId="171" formatCode="0.0000%"/>
  </numFmts>
  <fonts count="34" x14ac:knownFonts="1">
    <font>
      <sz val="10"/>
      <name val="Arial Cyr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u/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sz val="7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Arial Cyr"/>
      <charset val="204"/>
    </font>
    <font>
      <sz val="10.5"/>
      <name val="Arial Cyr"/>
      <charset val="204"/>
    </font>
    <font>
      <b/>
      <sz val="10.5"/>
      <name val="Arial Cyr"/>
      <charset val="204"/>
    </font>
    <font>
      <sz val="9"/>
      <name val="Times New Roman"/>
      <family val="1"/>
      <charset val="204"/>
    </font>
    <font>
      <b/>
      <u/>
      <sz val="11"/>
      <name val="Times New Roman"/>
      <family val="1"/>
      <charset val="204"/>
    </font>
    <font>
      <sz val="6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name val="Bernard MT Condensed"/>
      <family val="1"/>
    </font>
    <font>
      <b/>
      <sz val="8"/>
      <name val="Times New Roman"/>
      <family val="1"/>
      <charset val="204"/>
    </font>
    <font>
      <b/>
      <sz val="12"/>
      <name val="Arial Cyr"/>
      <charset val="204"/>
    </font>
    <font>
      <b/>
      <i/>
      <u/>
      <sz val="10.5"/>
      <name val="Arial Cyr"/>
      <charset val="204"/>
    </font>
    <font>
      <b/>
      <u/>
      <sz val="11"/>
      <name val="Arial Cyr"/>
      <charset val="204"/>
    </font>
    <font>
      <sz val="11"/>
      <name val="Arial Cyr"/>
      <charset val="204"/>
    </font>
    <font>
      <b/>
      <sz val="11"/>
      <name val="Arial Cyr"/>
      <charset val="204"/>
    </font>
    <font>
      <i/>
      <sz val="10"/>
      <name val="Arial Cyr"/>
      <charset val="204"/>
    </font>
    <font>
      <sz val="10"/>
      <name val="Arial Cyr"/>
      <charset val="204"/>
    </font>
    <font>
      <sz val="10"/>
      <color rgb="FFFF0000"/>
      <name val="Arial Cyr"/>
      <charset val="204"/>
    </font>
    <font>
      <sz val="10"/>
      <color rgb="FFFF000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sz val="8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i/>
      <sz val="10.5"/>
      <name val="Arial Cyr"/>
      <charset val="204"/>
    </font>
    <font>
      <b/>
      <i/>
      <sz val="10.5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164" fontId="26" fillId="0" borderId="0" applyFont="0" applyFill="0" applyBorder="0" applyAlignment="0" applyProtection="0"/>
  </cellStyleXfs>
  <cellXfs count="188">
    <xf numFmtId="0" fontId="0" fillId="0" borderId="0" xfId="0"/>
    <xf numFmtId="0" fontId="2" fillId="0" borderId="0" xfId="0" applyFont="1"/>
    <xf numFmtId="3" fontId="0" fillId="0" borderId="0" xfId="0" applyNumberFormat="1"/>
    <xf numFmtId="0" fontId="5" fillId="0" borderId="0" xfId="0" applyFont="1" applyAlignment="1">
      <alignment horizontal="right"/>
    </xf>
    <xf numFmtId="165" fontId="0" fillId="0" borderId="0" xfId="0" applyNumberFormat="1"/>
    <xf numFmtId="0" fontId="0" fillId="0" borderId="0" xfId="0" applyBorder="1" applyAlignment="1">
      <alignment horizontal="center"/>
    </xf>
    <xf numFmtId="2" fontId="9" fillId="0" borderId="0" xfId="0" applyNumberFormat="1" applyFont="1" applyBorder="1" applyAlignment="1">
      <alignment horizontal="center" vertical="center"/>
    </xf>
    <xf numFmtId="3" fontId="2" fillId="0" borderId="0" xfId="0" applyNumberFormat="1" applyFont="1" applyBorder="1" applyAlignment="1">
      <alignment horizontal="center" vertical="center"/>
    </xf>
    <xf numFmtId="3" fontId="2" fillId="0" borderId="0" xfId="0" applyNumberFormat="1" applyFont="1"/>
    <xf numFmtId="0" fontId="10" fillId="0" borderId="0" xfId="0" applyFont="1"/>
    <xf numFmtId="0" fontId="12" fillId="0" borderId="0" xfId="0" applyFont="1"/>
    <xf numFmtId="0" fontId="16" fillId="0" borderId="0" xfId="0" applyFont="1" applyAlignment="1">
      <alignment vertical="top"/>
    </xf>
    <xf numFmtId="0" fontId="7" fillId="0" borderId="0" xfId="0" applyFont="1"/>
    <xf numFmtId="0" fontId="7" fillId="0" borderId="0" xfId="0" applyFont="1" applyAlignment="1"/>
    <xf numFmtId="0" fontId="11" fillId="0" borderId="0" xfId="0" applyFont="1"/>
    <xf numFmtId="0" fontId="10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vertical="center" wrapText="1"/>
    </xf>
    <xf numFmtId="0" fontId="14" fillId="0" borderId="1" xfId="0" applyFont="1" applyFill="1" applyBorder="1" applyAlignment="1">
      <alignment vertical="center" wrapText="1"/>
    </xf>
    <xf numFmtId="0" fontId="17" fillId="0" borderId="0" xfId="0" applyFont="1" applyBorder="1"/>
    <xf numFmtId="0" fontId="10" fillId="0" borderId="1" xfId="0" applyFont="1" applyBorder="1" applyAlignment="1">
      <alignment horizontal="center" vertical="top" wrapText="1"/>
    </xf>
    <xf numFmtId="3" fontId="10" fillId="0" borderId="1" xfId="0" applyNumberFormat="1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center" wrapText="1"/>
    </xf>
    <xf numFmtId="168" fontId="0" fillId="0" borderId="0" xfId="0" applyNumberFormat="1"/>
    <xf numFmtId="168" fontId="11" fillId="0" borderId="0" xfId="0" applyNumberFormat="1" applyFont="1"/>
    <xf numFmtId="165" fontId="7" fillId="0" borderId="1" xfId="0" applyNumberFormat="1" applyFont="1" applyBorder="1" applyAlignment="1">
      <alignment horizontal="center" vertical="center"/>
    </xf>
    <xf numFmtId="4" fontId="7" fillId="0" borderId="1" xfId="0" applyNumberFormat="1" applyFont="1" applyBorder="1" applyAlignment="1">
      <alignment horizontal="center" vertical="center"/>
    </xf>
    <xf numFmtId="165" fontId="7" fillId="0" borderId="1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165" fontId="7" fillId="0" borderId="2" xfId="0" applyNumberFormat="1" applyFont="1" applyBorder="1" applyAlignment="1">
      <alignment horizontal="center" vertical="center"/>
    </xf>
    <xf numFmtId="4" fontId="7" fillId="0" borderId="2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vertical="center" wrapText="1"/>
    </xf>
    <xf numFmtId="165" fontId="7" fillId="0" borderId="3" xfId="0" applyNumberFormat="1" applyFont="1" applyBorder="1" applyAlignment="1">
      <alignment horizontal="center" vertical="center"/>
    </xf>
    <xf numFmtId="4" fontId="7" fillId="0" borderId="3" xfId="0" applyNumberFormat="1" applyFont="1" applyBorder="1" applyAlignment="1">
      <alignment horizontal="center" vertical="center"/>
    </xf>
    <xf numFmtId="2" fontId="7" fillId="0" borderId="3" xfId="0" applyNumberFormat="1" applyFont="1" applyBorder="1" applyAlignment="1">
      <alignment horizontal="center" vertical="center"/>
    </xf>
    <xf numFmtId="0" fontId="17" fillId="0" borderId="1" xfId="0" applyFont="1" applyBorder="1" applyAlignment="1">
      <alignment vertical="center" wrapText="1"/>
    </xf>
    <xf numFmtId="165" fontId="17" fillId="0" borderId="1" xfId="0" applyNumberFormat="1" applyFont="1" applyBorder="1" applyAlignment="1">
      <alignment horizontal="center" vertical="center"/>
    </xf>
    <xf numFmtId="4" fontId="1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0" fillId="0" borderId="0" xfId="0" applyFill="1"/>
    <xf numFmtId="0" fontId="2" fillId="0" borderId="0" xfId="0" applyFont="1" applyFill="1"/>
    <xf numFmtId="3" fontId="0" fillId="0" borderId="0" xfId="0" applyNumberFormat="1" applyFill="1"/>
    <xf numFmtId="0" fontId="7" fillId="0" borderId="0" xfId="0" applyFont="1" applyFill="1"/>
    <xf numFmtId="0" fontId="7" fillId="0" borderId="0" xfId="0" applyFont="1" applyFill="1" applyAlignment="1"/>
    <xf numFmtId="0" fontId="16" fillId="0" borderId="0" xfId="0" applyFont="1" applyFill="1" applyAlignment="1">
      <alignment vertical="top"/>
    </xf>
    <xf numFmtId="0" fontId="3" fillId="0" borderId="0" xfId="0" applyFont="1" applyFill="1" applyAlignment="1">
      <alignment horizontal="right"/>
    </xf>
    <xf numFmtId="0" fontId="5" fillId="0" borderId="0" xfId="0" applyFont="1" applyFill="1" applyAlignment="1">
      <alignment horizontal="right"/>
    </xf>
    <xf numFmtId="0" fontId="17" fillId="0" borderId="0" xfId="0" applyFont="1" applyFill="1" applyBorder="1"/>
    <xf numFmtId="0" fontId="10" fillId="0" borderId="1" xfId="0" applyFont="1" applyFill="1" applyBorder="1" applyAlignment="1">
      <alignment horizontal="center" vertical="top" wrapText="1"/>
    </xf>
    <xf numFmtId="3" fontId="10" fillId="0" borderId="1" xfId="0" applyNumberFormat="1" applyFont="1" applyFill="1" applyBorder="1" applyAlignment="1">
      <alignment horizontal="center" vertical="top" wrapText="1"/>
    </xf>
    <xf numFmtId="0" fontId="11" fillId="0" borderId="0" xfId="0" applyFont="1" applyFill="1"/>
    <xf numFmtId="169" fontId="0" fillId="0" borderId="0" xfId="0" applyNumberFormat="1" applyFill="1"/>
    <xf numFmtId="0" fontId="17" fillId="0" borderId="1" xfId="0" applyFont="1" applyFill="1" applyBorder="1" applyAlignment="1">
      <alignment vertical="center" wrapText="1"/>
    </xf>
    <xf numFmtId="0" fontId="10" fillId="0" borderId="0" xfId="0" applyFont="1" applyFill="1"/>
    <xf numFmtId="0" fontId="0" fillId="0" borderId="0" xfId="0" applyFill="1" applyBorder="1" applyAlignment="1">
      <alignment horizontal="center"/>
    </xf>
    <xf numFmtId="2" fontId="9" fillId="0" borderId="0" xfId="0" applyNumberFormat="1" applyFont="1" applyFill="1" applyBorder="1" applyAlignment="1">
      <alignment horizontal="center" vertical="center"/>
    </xf>
    <xf numFmtId="3" fontId="2" fillId="0" borderId="0" xfId="0" applyNumberFormat="1" applyFont="1" applyFill="1" applyBorder="1" applyAlignment="1">
      <alignment horizontal="center" vertical="center"/>
    </xf>
    <xf numFmtId="3" fontId="2" fillId="0" borderId="0" xfId="0" applyNumberFormat="1" applyFont="1" applyFill="1"/>
    <xf numFmtId="166" fontId="0" fillId="0" borderId="0" xfId="0" applyNumberFormat="1" applyFill="1"/>
    <xf numFmtId="0" fontId="7" fillId="0" borderId="1" xfId="0" applyFont="1" applyFill="1" applyBorder="1" applyAlignment="1">
      <alignment vertical="center"/>
    </xf>
    <xf numFmtId="165" fontId="0" fillId="0" borderId="0" xfId="0" applyNumberFormat="1" applyFill="1"/>
    <xf numFmtId="0" fontId="17" fillId="0" borderId="0" xfId="0" applyFont="1" applyFill="1"/>
    <xf numFmtId="0" fontId="17" fillId="0" borderId="0" xfId="0" applyFont="1"/>
    <xf numFmtId="0" fontId="7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center" vertical="center" wrapText="1"/>
    </xf>
    <xf numFmtId="165" fontId="7" fillId="0" borderId="0" xfId="0" applyNumberFormat="1" applyFont="1" applyFill="1" applyBorder="1" applyAlignment="1">
      <alignment horizontal="center" vertical="center" wrapText="1"/>
    </xf>
    <xf numFmtId="4" fontId="7" fillId="0" borderId="0" xfId="2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9" fillId="0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2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top"/>
    </xf>
    <xf numFmtId="4" fontId="7" fillId="0" borderId="5" xfId="0" applyNumberFormat="1" applyFont="1" applyBorder="1" applyAlignment="1">
      <alignment horizontal="center" vertical="center"/>
    </xf>
    <xf numFmtId="0" fontId="19" fillId="2" borderId="0" xfId="0" applyFont="1" applyFill="1" applyBorder="1" applyAlignment="1">
      <alignment horizontal="left" vertical="center" wrapText="1"/>
    </xf>
    <xf numFmtId="0" fontId="17" fillId="2" borderId="0" xfId="0" applyFont="1" applyFill="1" applyBorder="1" applyAlignment="1">
      <alignment horizontal="center" vertical="center" wrapText="1"/>
    </xf>
    <xf numFmtId="170" fontId="17" fillId="2" borderId="0" xfId="0" applyNumberFormat="1" applyFont="1" applyFill="1" applyBorder="1" applyAlignment="1">
      <alignment horizontal="center" vertical="center" wrapText="1"/>
    </xf>
    <xf numFmtId="4" fontId="17" fillId="2" borderId="0" xfId="2" applyNumberFormat="1" applyFont="1" applyFill="1" applyBorder="1" applyAlignment="1">
      <alignment horizontal="center" vertical="center" wrapText="1"/>
    </xf>
    <xf numFmtId="10" fontId="17" fillId="0" borderId="1" xfId="0" applyNumberFormat="1" applyFont="1" applyBorder="1" applyAlignment="1">
      <alignment horizontal="center" vertical="center"/>
    </xf>
    <xf numFmtId="10" fontId="7" fillId="0" borderId="1" xfId="0" applyNumberFormat="1" applyFont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top" wrapText="1"/>
    </xf>
    <xf numFmtId="0" fontId="7" fillId="0" borderId="6" xfId="0" applyFont="1" applyFill="1" applyBorder="1" applyAlignment="1">
      <alignment horizontal="center" vertical="center"/>
    </xf>
    <xf numFmtId="165" fontId="7" fillId="0" borderId="6" xfId="0" applyNumberFormat="1" applyFont="1" applyFill="1" applyBorder="1" applyAlignment="1">
      <alignment horizontal="center" vertical="center"/>
    </xf>
    <xf numFmtId="165" fontId="7" fillId="0" borderId="6" xfId="0" applyNumberFormat="1" applyFont="1" applyFill="1" applyBorder="1" applyAlignment="1">
      <alignment horizontal="center" vertical="center" wrapText="1"/>
    </xf>
    <xf numFmtId="0" fontId="27" fillId="0" borderId="0" xfId="0" applyFont="1"/>
    <xf numFmtId="0" fontId="28" fillId="0" borderId="0" xfId="0" applyFont="1"/>
    <xf numFmtId="0" fontId="29" fillId="0" borderId="0" xfId="0" applyFont="1" applyAlignment="1">
      <alignment vertical="center"/>
    </xf>
    <xf numFmtId="0" fontId="30" fillId="0" borderId="0" xfId="0" applyFont="1"/>
    <xf numFmtId="10" fontId="7" fillId="0" borderId="1" xfId="0" applyNumberFormat="1" applyFont="1" applyBorder="1" applyAlignment="1">
      <alignment horizontal="center" vertical="center"/>
    </xf>
    <xf numFmtId="10" fontId="7" fillId="0" borderId="2" xfId="0" applyNumberFormat="1" applyFont="1" applyBorder="1" applyAlignment="1">
      <alignment horizontal="center" vertical="center"/>
    </xf>
    <xf numFmtId="171" fontId="17" fillId="0" borderId="1" xfId="0" applyNumberFormat="1" applyFont="1" applyBorder="1" applyAlignment="1">
      <alignment horizontal="center" vertical="center"/>
    </xf>
    <xf numFmtId="171" fontId="17" fillId="0" borderId="1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vertical="top" wrapText="1"/>
    </xf>
    <xf numFmtId="0" fontId="20" fillId="0" borderId="0" xfId="0" applyFont="1"/>
    <xf numFmtId="0" fontId="21" fillId="0" borderId="0" xfId="0" applyFont="1"/>
    <xf numFmtId="0" fontId="0" fillId="0" borderId="0" xfId="0" applyFont="1"/>
    <xf numFmtId="0" fontId="22" fillId="0" borderId="0" xfId="0" applyFont="1"/>
    <xf numFmtId="0" fontId="23" fillId="0" borderId="0" xfId="0" applyFont="1"/>
    <xf numFmtId="0" fontId="24" fillId="0" borderId="0" xfId="0" applyFont="1"/>
    <xf numFmtId="0" fontId="23" fillId="0" borderId="0" xfId="0" applyFont="1" applyAlignment="1">
      <alignment vertical="top" wrapText="1"/>
    </xf>
    <xf numFmtId="0" fontId="23" fillId="0" borderId="0" xfId="0" applyFont="1" applyAlignment="1">
      <alignment horizontal="left" vertical="center" wrapText="1"/>
    </xf>
    <xf numFmtId="0" fontId="23" fillId="0" borderId="0" xfId="0" applyFont="1" applyAlignment="1">
      <alignment horizontal="center" vertical="center" wrapText="1"/>
    </xf>
    <xf numFmtId="0" fontId="24" fillId="0" borderId="0" xfId="0" applyFont="1" applyAlignment="1">
      <alignment vertical="top"/>
    </xf>
    <xf numFmtId="0" fontId="24" fillId="0" borderId="0" xfId="0" applyFont="1" applyAlignment="1">
      <alignment horizontal="center" vertical="center"/>
    </xf>
    <xf numFmtId="0" fontId="31" fillId="0" borderId="0" xfId="0" applyFont="1"/>
    <xf numFmtId="169" fontId="0" fillId="0" borderId="0" xfId="0" applyNumberFormat="1"/>
    <xf numFmtId="2" fontId="7" fillId="0" borderId="1" xfId="0" applyNumberFormat="1" applyFont="1" applyBorder="1" applyAlignment="1">
      <alignment horizontal="center" vertical="center"/>
    </xf>
    <xf numFmtId="4" fontId="17" fillId="0" borderId="1" xfId="3" applyNumberFormat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vertical="center" wrapText="1"/>
    </xf>
    <xf numFmtId="4" fontId="7" fillId="0" borderId="1" xfId="3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165" fontId="7" fillId="0" borderId="0" xfId="0" applyNumberFormat="1" applyFont="1" applyAlignment="1">
      <alignment horizontal="center" vertical="center" wrapText="1"/>
    </xf>
    <xf numFmtId="4" fontId="7" fillId="0" borderId="0" xfId="3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wrapText="1"/>
    </xf>
    <xf numFmtId="0" fontId="9" fillId="0" borderId="0" xfId="0" applyFont="1" applyAlignment="1">
      <alignment wrapText="1"/>
    </xf>
    <xf numFmtId="4" fontId="17" fillId="0" borderId="1" xfId="3" applyNumberFormat="1" applyFont="1" applyBorder="1" applyAlignment="1">
      <alignment horizontal="center" vertical="center" wrapText="1"/>
    </xf>
    <xf numFmtId="4" fontId="7" fillId="0" borderId="1" xfId="3" applyNumberFormat="1" applyFont="1" applyBorder="1" applyAlignment="1">
      <alignment horizontal="center" vertical="center" wrapText="1"/>
    </xf>
    <xf numFmtId="0" fontId="19" fillId="2" borderId="0" xfId="0" applyFont="1" applyFill="1" applyAlignment="1">
      <alignment horizontal="left" vertical="center" wrapText="1"/>
    </xf>
    <xf numFmtId="0" fontId="17" fillId="2" borderId="0" xfId="0" applyFont="1" applyFill="1" applyAlignment="1">
      <alignment horizontal="center" vertical="center" wrapText="1"/>
    </xf>
    <xf numFmtId="170" fontId="17" fillId="2" borderId="0" xfId="0" applyNumberFormat="1" applyFont="1" applyFill="1" applyAlignment="1">
      <alignment horizontal="center" vertical="center" wrapText="1"/>
    </xf>
    <xf numFmtId="4" fontId="17" fillId="2" borderId="0" xfId="3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2" fontId="9" fillId="0" borderId="0" xfId="0" applyNumberFormat="1" applyFont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10" fillId="0" borderId="6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165" fontId="7" fillId="0" borderId="7" xfId="0" applyNumberFormat="1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 wrapText="1"/>
    </xf>
    <xf numFmtId="0" fontId="9" fillId="0" borderId="0" xfId="0" applyFont="1" applyAlignment="1">
      <alignment horizontal="left" wrapText="1"/>
    </xf>
    <xf numFmtId="171" fontId="17" fillId="0" borderId="6" xfId="0" applyNumberFormat="1" applyFont="1" applyBorder="1" applyAlignment="1">
      <alignment horizontal="center" vertical="center"/>
    </xf>
    <xf numFmtId="4" fontId="17" fillId="0" borderId="1" xfId="0" applyNumberFormat="1" applyFont="1" applyFill="1" applyBorder="1" applyAlignment="1">
      <alignment horizontal="center" vertical="center"/>
    </xf>
    <xf numFmtId="4" fontId="7" fillId="0" borderId="1" xfId="0" applyNumberFormat="1" applyFont="1" applyFill="1" applyBorder="1" applyAlignment="1">
      <alignment horizontal="center" vertical="center"/>
    </xf>
    <xf numFmtId="4" fontId="17" fillId="0" borderId="1" xfId="2" applyNumberFormat="1" applyFont="1" applyFill="1" applyBorder="1" applyAlignment="1">
      <alignment horizontal="center" vertical="center" wrapText="1"/>
    </xf>
    <xf numFmtId="4" fontId="7" fillId="0" borderId="1" xfId="2" applyNumberFormat="1" applyFont="1" applyFill="1" applyBorder="1" applyAlignment="1">
      <alignment horizontal="center" vertical="center" wrapText="1"/>
    </xf>
    <xf numFmtId="4" fontId="7" fillId="0" borderId="1" xfId="2" applyNumberFormat="1" applyFont="1" applyFill="1" applyBorder="1" applyAlignment="1">
      <alignment horizontal="center" vertical="center"/>
    </xf>
    <xf numFmtId="4" fontId="17" fillId="0" borderId="1" xfId="2" applyNumberFormat="1" applyFont="1" applyFill="1" applyBorder="1" applyAlignment="1">
      <alignment horizontal="center" vertical="center"/>
    </xf>
    <xf numFmtId="0" fontId="13" fillId="0" borderId="0" xfId="0" applyFont="1" applyAlignment="1">
      <alignment horizontal="left" wrapText="1"/>
    </xf>
    <xf numFmtId="0" fontId="23" fillId="0" borderId="0" xfId="0" applyFont="1" applyAlignment="1">
      <alignment horizontal="left"/>
    </xf>
    <xf numFmtId="0" fontId="23" fillId="0" borderId="0" xfId="0" applyFont="1" applyAlignment="1">
      <alignment horizontal="left" vertical="center" wrapText="1"/>
    </xf>
    <xf numFmtId="0" fontId="24" fillId="0" borderId="0" xfId="0" applyFont="1" applyAlignment="1">
      <alignment horizontal="left" vertical="center" wrapText="1"/>
    </xf>
    <xf numFmtId="0" fontId="24" fillId="0" borderId="0" xfId="0" applyFont="1" applyAlignment="1">
      <alignment horizontal="left" wrapText="1"/>
    </xf>
    <xf numFmtId="0" fontId="23" fillId="0" borderId="0" xfId="0" applyFont="1" applyAlignment="1">
      <alignment vertical="top" wrapText="1"/>
    </xf>
    <xf numFmtId="0" fontId="23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vertical="top"/>
    </xf>
    <xf numFmtId="0" fontId="1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8" fillId="0" borderId="1" xfId="0" applyFont="1" applyBorder="1" applyAlignment="1">
      <alignment horizontal="center" vertical="top" wrapText="1"/>
    </xf>
    <xf numFmtId="3" fontId="7" fillId="0" borderId="1" xfId="0" applyNumberFormat="1" applyFont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 wrapText="1"/>
    </xf>
    <xf numFmtId="0" fontId="9" fillId="0" borderId="0" xfId="0" applyFont="1" applyAlignment="1">
      <alignment horizontal="left" wrapText="1"/>
    </xf>
    <xf numFmtId="0" fontId="8" fillId="0" borderId="6" xfId="0" applyFont="1" applyBorder="1" applyAlignment="1">
      <alignment horizontal="center" vertical="top" wrapText="1"/>
    </xf>
    <xf numFmtId="0" fontId="2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 vertical="top"/>
    </xf>
    <xf numFmtId="0" fontId="15" fillId="0" borderId="0" xfId="0" applyFont="1" applyFill="1" applyAlignment="1">
      <alignment horizontal="center"/>
    </xf>
    <xf numFmtId="0" fontId="10" fillId="0" borderId="0" xfId="0" applyFont="1" applyFill="1" applyAlignment="1">
      <alignment horizontal="center"/>
    </xf>
    <xf numFmtId="0" fontId="9" fillId="0" borderId="0" xfId="0" applyFont="1" applyFill="1" applyAlignment="1">
      <alignment horizontal="center" wrapText="1"/>
    </xf>
    <xf numFmtId="0" fontId="7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top" wrapText="1"/>
    </xf>
    <xf numFmtId="3" fontId="7" fillId="0" borderId="1" xfId="0" applyNumberFormat="1" applyFont="1" applyFill="1" applyBorder="1" applyAlignment="1">
      <alignment horizontal="center" vertical="center" wrapText="1"/>
    </xf>
    <xf numFmtId="3" fontId="7" fillId="0" borderId="4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/>
    </xf>
    <xf numFmtId="0" fontId="5" fillId="0" borderId="9" xfId="0" applyFont="1" applyFill="1" applyBorder="1" applyAlignment="1">
      <alignment horizontal="center"/>
    </xf>
    <xf numFmtId="0" fontId="9" fillId="0" borderId="0" xfId="0" applyFont="1" applyAlignment="1">
      <alignment horizontal="center" wrapText="1"/>
    </xf>
    <xf numFmtId="0" fontId="10" fillId="0" borderId="0" xfId="0" applyFont="1" applyFill="1" applyAlignment="1">
      <alignment horizontal="left" wrapText="1"/>
    </xf>
    <xf numFmtId="0" fontId="0" fillId="0" borderId="1" xfId="0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/>
    </xf>
    <xf numFmtId="171" fontId="7" fillId="0" borderId="1" xfId="0" applyNumberFormat="1" applyFont="1" applyBorder="1" applyAlignment="1">
      <alignment horizontal="center" vertical="center" wrapText="1"/>
    </xf>
    <xf numFmtId="171" fontId="17" fillId="0" borderId="6" xfId="0" applyNumberFormat="1" applyFont="1" applyBorder="1" applyAlignment="1">
      <alignment horizontal="center" vertical="center" wrapText="1"/>
    </xf>
    <xf numFmtId="171" fontId="7" fillId="0" borderId="6" xfId="0" applyNumberFormat="1" applyFont="1" applyBorder="1" applyAlignment="1">
      <alignment horizontal="center" vertical="center" wrapText="1"/>
    </xf>
    <xf numFmtId="171" fontId="17" fillId="0" borderId="6" xfId="0" applyNumberFormat="1" applyFont="1" applyFill="1" applyBorder="1" applyAlignment="1">
      <alignment horizontal="center" vertical="center" wrapText="1"/>
    </xf>
    <xf numFmtId="171" fontId="7" fillId="0" borderId="6" xfId="0" applyNumberFormat="1" applyFont="1" applyFill="1" applyBorder="1" applyAlignment="1">
      <alignment horizontal="center" vertical="center" wrapText="1"/>
    </xf>
    <xf numFmtId="171" fontId="7" fillId="0" borderId="1" xfId="0" applyNumberFormat="1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 xr:uid="{00000000-0005-0000-0000-000001000000}"/>
    <cellStyle name="Финансовый" xfId="2" builtinId="3"/>
    <cellStyle name="Финансовый 2" xfId="3" xr:uid="{00000000-0005-0000-0000-000003000000}"/>
  </cellStyles>
  <dxfs count="1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W34"/>
  <sheetViews>
    <sheetView workbookViewId="0">
      <selection activeCell="H34" sqref="H34"/>
    </sheetView>
  </sheetViews>
  <sheetFormatPr defaultRowHeight="12.75" x14ac:dyDescent="0.2"/>
  <cols>
    <col min="1" max="1" width="9.85546875" customWidth="1"/>
  </cols>
  <sheetData>
    <row r="1" spans="1:18" ht="15" x14ac:dyDescent="0.25">
      <c r="A1" s="99" t="s">
        <v>114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</row>
    <row r="2" spans="1:18" ht="15" x14ac:dyDescent="0.25">
      <c r="A2" s="99"/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</row>
    <row r="3" spans="1:18" ht="13.5" customHeight="1" x14ac:dyDescent="0.2">
      <c r="A3" s="145" t="s">
        <v>115</v>
      </c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  <c r="Q3" s="145"/>
      <c r="R3" s="145"/>
    </row>
    <row r="4" spans="1:18" ht="13.5" customHeight="1" x14ac:dyDescent="0.2">
      <c r="A4" s="145"/>
      <c r="B4" s="145"/>
      <c r="C4" s="145"/>
      <c r="D4" s="145"/>
      <c r="E4" s="145"/>
      <c r="F4" s="145"/>
      <c r="G4" s="145"/>
      <c r="H4" s="145"/>
      <c r="I4" s="145"/>
      <c r="J4" s="145"/>
      <c r="K4" s="145"/>
      <c r="L4" s="145"/>
      <c r="M4" s="145"/>
      <c r="N4" s="145"/>
      <c r="O4" s="145"/>
      <c r="P4" s="145"/>
      <c r="Q4" s="145"/>
      <c r="R4" s="145"/>
    </row>
    <row r="5" spans="1:18" ht="15" x14ac:dyDescent="0.25">
      <c r="A5" s="99"/>
      <c r="B5" s="100"/>
      <c r="C5" s="100"/>
      <c r="D5" s="100"/>
      <c r="E5" s="100"/>
      <c r="F5" s="100"/>
      <c r="G5" s="100"/>
      <c r="H5" s="100"/>
      <c r="I5" s="100"/>
      <c r="J5" s="100"/>
      <c r="K5" s="100"/>
      <c r="L5" s="100"/>
      <c r="M5" s="100"/>
      <c r="N5" s="100"/>
      <c r="O5" s="100"/>
      <c r="P5" s="100"/>
      <c r="Q5" s="100"/>
      <c r="R5" s="100"/>
    </row>
    <row r="6" spans="1:18" ht="13.5" customHeight="1" x14ac:dyDescent="0.2">
      <c r="A6" s="146" t="s">
        <v>117</v>
      </c>
      <c r="B6" s="146"/>
      <c r="C6" s="146"/>
      <c r="D6" s="146"/>
      <c r="E6" s="146"/>
      <c r="F6" s="146"/>
      <c r="G6" s="146"/>
      <c r="H6" s="146"/>
      <c r="I6" s="146"/>
      <c r="J6" s="146"/>
      <c r="K6" s="146"/>
      <c r="L6" s="146"/>
      <c r="M6" s="146"/>
      <c r="N6" s="146"/>
      <c r="O6" s="146"/>
      <c r="P6" s="146"/>
      <c r="Q6" s="146"/>
      <c r="R6" s="146"/>
    </row>
    <row r="7" spans="1:18" ht="13.5" customHeight="1" x14ac:dyDescent="0.2">
      <c r="A7" s="146"/>
      <c r="B7" s="146"/>
      <c r="C7" s="146"/>
      <c r="D7" s="146"/>
      <c r="E7" s="146"/>
      <c r="F7" s="146"/>
      <c r="G7" s="146"/>
      <c r="H7" s="146"/>
      <c r="I7" s="146"/>
      <c r="J7" s="146"/>
      <c r="K7" s="146"/>
      <c r="L7" s="146"/>
      <c r="M7" s="146"/>
      <c r="N7" s="146"/>
      <c r="O7" s="146"/>
      <c r="P7" s="146"/>
      <c r="Q7" s="146"/>
      <c r="R7" s="146"/>
    </row>
    <row r="8" spans="1:18" ht="18" customHeight="1" x14ac:dyDescent="0.2">
      <c r="A8" s="146"/>
      <c r="B8" s="146"/>
      <c r="C8" s="146"/>
      <c r="D8" s="146"/>
      <c r="E8" s="146"/>
      <c r="F8" s="146"/>
      <c r="G8" s="146"/>
      <c r="H8" s="146"/>
      <c r="I8" s="146"/>
      <c r="J8" s="146"/>
      <c r="K8" s="146"/>
      <c r="L8" s="146"/>
      <c r="M8" s="146"/>
      <c r="N8" s="146"/>
      <c r="O8" s="146"/>
      <c r="P8" s="146"/>
      <c r="Q8" s="146"/>
      <c r="R8" s="146"/>
    </row>
    <row r="9" spans="1:18" ht="15" x14ac:dyDescent="0.25">
      <c r="A9" s="101"/>
      <c r="B9" s="100"/>
      <c r="C9" s="100"/>
      <c r="D9" s="100"/>
      <c r="E9" s="100"/>
      <c r="F9" s="100"/>
      <c r="G9" s="100"/>
      <c r="H9" s="100"/>
      <c r="I9" s="100"/>
      <c r="J9" s="100"/>
      <c r="K9" s="100"/>
      <c r="L9" s="100"/>
      <c r="M9" s="100"/>
      <c r="N9" s="100"/>
      <c r="O9" s="100"/>
      <c r="P9" s="100"/>
      <c r="Q9" s="100"/>
      <c r="R9" s="100"/>
    </row>
    <row r="10" spans="1:18" ht="13.5" customHeight="1" x14ac:dyDescent="0.2">
      <c r="A10" s="147" t="s">
        <v>152</v>
      </c>
      <c r="B10" s="147"/>
      <c r="C10" s="147"/>
      <c r="D10" s="147"/>
      <c r="E10" s="147"/>
      <c r="F10" s="147"/>
      <c r="G10" s="147"/>
      <c r="H10" s="147"/>
      <c r="I10" s="147"/>
      <c r="J10" s="147"/>
      <c r="K10" s="147"/>
      <c r="L10" s="147"/>
      <c r="M10" s="147"/>
      <c r="N10" s="147"/>
      <c r="O10" s="147"/>
      <c r="P10" s="147"/>
      <c r="Q10" s="147"/>
      <c r="R10" s="147"/>
    </row>
    <row r="11" spans="1:18" ht="27" customHeight="1" x14ac:dyDescent="0.2">
      <c r="A11" s="147"/>
      <c r="B11" s="147"/>
      <c r="C11" s="147"/>
      <c r="D11" s="147"/>
      <c r="E11" s="147"/>
      <c r="F11" s="147"/>
      <c r="G11" s="147"/>
      <c r="H11" s="147"/>
      <c r="I11" s="147"/>
      <c r="J11" s="147"/>
      <c r="K11" s="147"/>
      <c r="L11" s="147"/>
      <c r="M11" s="147"/>
      <c r="N11" s="147"/>
      <c r="O11" s="147"/>
      <c r="P11" s="147"/>
      <c r="Q11" s="147"/>
      <c r="R11" s="147"/>
    </row>
    <row r="12" spans="1:18" ht="14.25" x14ac:dyDescent="0.2">
      <c r="A12" s="102"/>
      <c r="B12" s="102"/>
      <c r="C12" s="102"/>
      <c r="D12" s="102"/>
      <c r="E12" s="102"/>
      <c r="F12" s="102"/>
      <c r="G12" s="102"/>
      <c r="H12" s="102"/>
      <c r="I12" s="102"/>
      <c r="J12" s="102"/>
      <c r="K12" s="102"/>
      <c r="L12" s="102"/>
      <c r="M12" s="102"/>
      <c r="N12" s="102"/>
      <c r="O12" s="102"/>
      <c r="P12" s="102"/>
      <c r="Q12" s="102"/>
      <c r="R12" s="102"/>
    </row>
    <row r="13" spans="1:18" ht="15" x14ac:dyDescent="0.2">
      <c r="A13" s="105" t="s">
        <v>105</v>
      </c>
      <c r="B13" s="102"/>
      <c r="C13" s="102"/>
      <c r="D13" s="102"/>
      <c r="E13" s="102"/>
      <c r="F13" s="102"/>
      <c r="G13" s="102"/>
      <c r="H13" s="102"/>
      <c r="I13" s="102"/>
      <c r="J13" s="102"/>
      <c r="K13" s="102"/>
      <c r="L13" s="102"/>
      <c r="M13" s="102"/>
      <c r="N13" s="102"/>
      <c r="O13" s="102"/>
      <c r="P13" s="102"/>
      <c r="Q13" s="102"/>
      <c r="R13" s="102"/>
    </row>
    <row r="14" spans="1:18" x14ac:dyDescent="0.2">
      <c r="A14" s="147" t="s">
        <v>153</v>
      </c>
      <c r="B14" s="147"/>
      <c r="C14" s="147"/>
      <c r="D14" s="147"/>
      <c r="E14" s="147"/>
      <c r="F14" s="147"/>
      <c r="G14" s="147"/>
      <c r="H14" s="147"/>
      <c r="I14" s="147"/>
      <c r="J14" s="147"/>
      <c r="K14" s="147"/>
      <c r="L14" s="147"/>
      <c r="M14" s="147"/>
      <c r="N14" s="147"/>
      <c r="O14" s="147"/>
      <c r="P14" s="147"/>
      <c r="Q14" s="147"/>
      <c r="R14" s="147"/>
    </row>
    <row r="15" spans="1:18" x14ac:dyDescent="0.2">
      <c r="A15" s="147"/>
      <c r="B15" s="147"/>
      <c r="C15" s="147"/>
      <c r="D15" s="147"/>
      <c r="E15" s="147"/>
      <c r="F15" s="147"/>
      <c r="G15" s="147"/>
      <c r="H15" s="147"/>
      <c r="I15" s="147"/>
      <c r="J15" s="147"/>
      <c r="K15" s="147"/>
      <c r="L15" s="147"/>
      <c r="M15" s="147"/>
      <c r="N15" s="147"/>
      <c r="O15" s="147"/>
      <c r="P15" s="147"/>
      <c r="Q15" s="147"/>
      <c r="R15" s="147"/>
    </row>
    <row r="16" spans="1:18" ht="21" customHeight="1" x14ac:dyDescent="0.2">
      <c r="A16" s="147"/>
      <c r="B16" s="147"/>
      <c r="C16" s="147"/>
      <c r="D16" s="147"/>
      <c r="E16" s="147"/>
      <c r="F16" s="147"/>
      <c r="G16" s="147"/>
      <c r="H16" s="147"/>
      <c r="I16" s="147"/>
      <c r="J16" s="147"/>
      <c r="K16" s="147"/>
      <c r="L16" s="147"/>
      <c r="M16" s="147"/>
      <c r="N16" s="147"/>
      <c r="O16" s="147"/>
      <c r="P16" s="147"/>
      <c r="Q16" s="147"/>
      <c r="R16" s="147"/>
    </row>
    <row r="17" spans="1:23" ht="17.25" customHeight="1" x14ac:dyDescent="0.2">
      <c r="A17" s="147" t="s">
        <v>116</v>
      </c>
      <c r="B17" s="147"/>
      <c r="C17" s="147"/>
      <c r="D17" s="147"/>
      <c r="E17" s="147"/>
      <c r="F17" s="147"/>
      <c r="G17" s="147"/>
      <c r="H17" s="147"/>
      <c r="I17" s="147"/>
      <c r="J17" s="147"/>
      <c r="K17" s="147"/>
      <c r="L17" s="147"/>
      <c r="M17" s="147"/>
      <c r="N17" s="147"/>
      <c r="O17" s="147"/>
      <c r="P17" s="147"/>
      <c r="Q17" s="147"/>
      <c r="R17" s="147"/>
    </row>
    <row r="18" spans="1:23" ht="14.25" customHeight="1" x14ac:dyDescent="0.2">
      <c r="A18" s="147"/>
      <c r="B18" s="147"/>
      <c r="C18" s="147"/>
      <c r="D18" s="147"/>
      <c r="E18" s="147"/>
      <c r="F18" s="147"/>
      <c r="G18" s="147"/>
      <c r="H18" s="147"/>
      <c r="I18" s="147"/>
      <c r="J18" s="147"/>
      <c r="K18" s="147"/>
      <c r="L18" s="147"/>
      <c r="M18" s="147"/>
      <c r="N18" s="147"/>
      <c r="O18" s="147"/>
      <c r="P18" s="147"/>
      <c r="Q18" s="147"/>
      <c r="R18" s="147"/>
    </row>
    <row r="19" spans="1:23" ht="13.5" customHeight="1" x14ac:dyDescent="0.2">
      <c r="A19" s="103"/>
      <c r="B19" s="103"/>
      <c r="C19" s="103"/>
      <c r="D19" s="103"/>
      <c r="E19" s="103"/>
      <c r="F19" s="103"/>
      <c r="G19" s="103"/>
      <c r="H19" s="103"/>
      <c r="I19" s="103"/>
      <c r="J19" s="103"/>
      <c r="K19" s="103"/>
      <c r="L19" s="103"/>
      <c r="M19" s="103"/>
      <c r="N19" s="103"/>
      <c r="O19" s="103"/>
      <c r="P19" s="103"/>
      <c r="Q19" s="103"/>
      <c r="R19" s="103"/>
    </row>
    <row r="20" spans="1:23" ht="15" x14ac:dyDescent="0.2">
      <c r="A20" s="106" t="s">
        <v>106</v>
      </c>
      <c r="B20" s="104"/>
      <c r="C20" s="104"/>
      <c r="D20" s="104"/>
      <c r="E20" s="104"/>
      <c r="F20" s="104"/>
      <c r="G20" s="104"/>
      <c r="H20" s="104"/>
      <c r="I20" s="104"/>
      <c r="J20" s="104"/>
      <c r="K20" s="104"/>
      <c r="L20" s="104"/>
      <c r="M20" s="104"/>
      <c r="N20" s="104"/>
      <c r="O20" s="104"/>
      <c r="P20" s="104"/>
      <c r="Q20" s="104"/>
      <c r="R20" s="104"/>
    </row>
    <row r="21" spans="1:23" ht="17.25" customHeight="1" x14ac:dyDescent="0.2">
      <c r="A21" s="148" t="s">
        <v>107</v>
      </c>
      <c r="B21" s="148"/>
      <c r="C21" s="148"/>
      <c r="D21" s="148"/>
      <c r="E21" s="148"/>
      <c r="F21" s="148"/>
      <c r="G21" s="148"/>
      <c r="H21" s="148"/>
      <c r="I21" s="148"/>
      <c r="J21" s="148"/>
      <c r="K21" s="148"/>
      <c r="L21" s="148"/>
      <c r="M21" s="148"/>
      <c r="N21" s="148"/>
      <c r="O21" s="148"/>
      <c r="P21" s="148"/>
      <c r="Q21" s="148"/>
      <c r="R21" s="148"/>
    </row>
    <row r="22" spans="1:23" s="10" customFormat="1" ht="13.5" x14ac:dyDescent="0.2">
      <c r="A22" s="144" t="s">
        <v>108</v>
      </c>
      <c r="B22" s="144"/>
      <c r="C22" s="144"/>
      <c r="D22" s="144"/>
      <c r="E22" s="144"/>
      <c r="F22" s="144"/>
      <c r="G22" s="144"/>
      <c r="H22" s="144"/>
      <c r="I22" s="144"/>
      <c r="J22" s="144"/>
      <c r="K22" s="144"/>
      <c r="L22" s="144"/>
      <c r="M22" s="144"/>
      <c r="N22" s="144"/>
      <c r="O22" s="144"/>
      <c r="P22" s="144"/>
      <c r="Q22" s="144"/>
      <c r="R22" s="144"/>
      <c r="S22" s="95"/>
      <c r="T22" s="95"/>
      <c r="U22" s="95"/>
      <c r="V22" s="95"/>
      <c r="W22" s="95"/>
    </row>
    <row r="23" spans="1:23" ht="12.75" customHeight="1" x14ac:dyDescent="0.2">
      <c r="A23" s="144"/>
      <c r="B23" s="144"/>
      <c r="C23" s="144"/>
      <c r="D23" s="144"/>
      <c r="E23" s="144"/>
      <c r="F23" s="144"/>
      <c r="G23" s="144"/>
      <c r="H23" s="144"/>
      <c r="I23" s="144"/>
      <c r="J23" s="144"/>
      <c r="K23" s="144"/>
      <c r="L23" s="144"/>
      <c r="M23" s="144"/>
      <c r="N23" s="144"/>
      <c r="O23" s="144"/>
      <c r="P23" s="144"/>
      <c r="Q23" s="144"/>
      <c r="R23" s="144"/>
    </row>
    <row r="24" spans="1:23" x14ac:dyDescent="0.2">
      <c r="A24" s="144"/>
      <c r="B24" s="144"/>
      <c r="C24" s="144"/>
      <c r="D24" s="144"/>
      <c r="E24" s="144"/>
      <c r="F24" s="144"/>
      <c r="G24" s="144"/>
      <c r="H24" s="144"/>
      <c r="I24" s="144"/>
      <c r="J24" s="144"/>
      <c r="K24" s="144"/>
      <c r="L24" s="144"/>
      <c r="M24" s="144"/>
      <c r="N24" s="144"/>
      <c r="O24" s="144"/>
      <c r="P24" s="144"/>
      <c r="Q24" s="144"/>
      <c r="R24" s="144"/>
    </row>
    <row r="25" spans="1:23" ht="14.25" x14ac:dyDescent="0.2">
      <c r="A25" s="100"/>
      <c r="B25" s="100"/>
      <c r="C25" s="100"/>
      <c r="D25" s="100"/>
      <c r="E25" s="100"/>
      <c r="F25" s="100"/>
      <c r="G25" s="100"/>
      <c r="H25" s="100"/>
      <c r="I25" s="100"/>
      <c r="J25" s="100"/>
      <c r="K25" s="100"/>
      <c r="L25" s="100"/>
      <c r="M25" s="100"/>
      <c r="N25" s="100"/>
      <c r="O25" s="100"/>
      <c r="P25" s="100"/>
      <c r="Q25" s="100"/>
      <c r="R25" s="100"/>
    </row>
    <row r="26" spans="1:23" s="87" customFormat="1" ht="14.25" x14ac:dyDescent="0.2">
      <c r="A26" s="143" t="s">
        <v>109</v>
      </c>
      <c r="B26" s="143"/>
      <c r="C26" s="143"/>
      <c r="D26" s="143"/>
      <c r="E26" s="143"/>
      <c r="F26" s="143"/>
      <c r="G26" s="143"/>
      <c r="H26" s="143"/>
      <c r="I26" s="143"/>
      <c r="J26" s="143"/>
      <c r="K26" s="143"/>
      <c r="L26" s="143"/>
      <c r="M26" s="143"/>
      <c r="N26" s="143"/>
      <c r="O26" s="143"/>
      <c r="P26" s="143"/>
      <c r="Q26" s="143"/>
      <c r="R26" s="143"/>
    </row>
    <row r="28" spans="1:23" s="10" customFormat="1" ht="13.5" x14ac:dyDescent="0.2">
      <c r="A28" s="75" t="s">
        <v>97</v>
      </c>
      <c r="B28" s="74"/>
      <c r="C28" s="74"/>
      <c r="D28" s="74"/>
      <c r="E28" s="74"/>
      <c r="F28" s="74"/>
      <c r="G28" s="74"/>
      <c r="H28" s="74"/>
      <c r="I28" s="74"/>
      <c r="J28" s="74"/>
      <c r="K28" s="74"/>
      <c r="L28" s="74"/>
      <c r="M28" s="74"/>
      <c r="N28" s="74"/>
      <c r="O28" s="74"/>
      <c r="P28" s="74"/>
      <c r="Q28" s="74"/>
      <c r="R28" s="74"/>
      <c r="S28" s="74"/>
      <c r="T28" s="74"/>
      <c r="U28" s="74"/>
      <c r="V28" s="74"/>
      <c r="W28" s="74"/>
    </row>
    <row r="30" spans="1:23" ht="15.75" x14ac:dyDescent="0.25">
      <c r="A30" s="96" t="s">
        <v>155</v>
      </c>
    </row>
    <row r="31" spans="1:23" ht="13.5" customHeight="1" x14ac:dyDescent="0.2">
      <c r="A31" s="142" t="s">
        <v>154</v>
      </c>
      <c r="B31" s="142"/>
      <c r="C31" s="142"/>
      <c r="D31" s="142"/>
      <c r="E31" s="142"/>
      <c r="F31" s="142"/>
      <c r="G31" s="142"/>
      <c r="H31" s="142"/>
      <c r="I31" s="142"/>
      <c r="J31" s="142"/>
      <c r="K31" s="142"/>
      <c r="L31" s="142"/>
      <c r="M31" s="142"/>
      <c r="N31" s="142"/>
      <c r="O31" s="142"/>
      <c r="P31" s="142"/>
      <c r="Q31" s="142"/>
      <c r="R31" s="142"/>
    </row>
    <row r="32" spans="1:23" ht="13.5" customHeight="1" x14ac:dyDescent="0.2">
      <c r="A32" s="142"/>
      <c r="B32" s="142"/>
      <c r="C32" s="142"/>
      <c r="D32" s="142"/>
      <c r="E32" s="142"/>
      <c r="F32" s="142"/>
      <c r="G32" s="142"/>
      <c r="H32" s="142"/>
      <c r="I32" s="142"/>
      <c r="J32" s="142"/>
      <c r="K32" s="142"/>
      <c r="L32" s="142"/>
      <c r="M32" s="142"/>
      <c r="N32" s="142"/>
      <c r="O32" s="142"/>
      <c r="P32" s="142"/>
      <c r="Q32" s="142"/>
      <c r="R32" s="142"/>
    </row>
    <row r="33" spans="1:18" ht="13.5" customHeight="1" x14ac:dyDescent="0.2">
      <c r="A33" s="142"/>
      <c r="B33" s="142"/>
      <c r="C33" s="142"/>
      <c r="D33" s="142"/>
      <c r="E33" s="142"/>
      <c r="F33" s="142"/>
      <c r="G33" s="142"/>
      <c r="H33" s="142"/>
      <c r="I33" s="142"/>
      <c r="J33" s="142"/>
      <c r="K33" s="142"/>
      <c r="L33" s="142"/>
      <c r="M33" s="142"/>
      <c r="N33" s="142"/>
      <c r="O33" s="142"/>
      <c r="P33" s="142"/>
      <c r="Q33" s="142"/>
      <c r="R33" s="142"/>
    </row>
    <row r="34" spans="1:18" s="98" customFormat="1" ht="14.25" customHeight="1" x14ac:dyDescent="0.2">
      <c r="A34" s="97" t="s">
        <v>104</v>
      </c>
    </row>
  </sheetData>
  <mergeCells count="9">
    <mergeCell ref="A31:R33"/>
    <mergeCell ref="A26:R26"/>
    <mergeCell ref="A22:R24"/>
    <mergeCell ref="A3:R4"/>
    <mergeCell ref="A6:R8"/>
    <mergeCell ref="A10:R11"/>
    <mergeCell ref="A21:R21"/>
    <mergeCell ref="A17:R18"/>
    <mergeCell ref="A14:R16"/>
  </mergeCells>
  <pageMargins left="0.31496062992125984" right="0.11811023622047245" top="0.74803149606299213" bottom="0.74803149606299213" header="0.31496062992125984" footer="0.31496062992125984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44"/>
  <sheetViews>
    <sheetView topLeftCell="A9" zoomScale="90" zoomScaleNormal="90" workbookViewId="0">
      <selection activeCell="H32" sqref="H32"/>
    </sheetView>
  </sheetViews>
  <sheetFormatPr defaultRowHeight="12.75" x14ac:dyDescent="0.2"/>
  <cols>
    <col min="1" max="1" width="59.7109375" customWidth="1"/>
    <col min="2" max="2" width="7" customWidth="1"/>
    <col min="3" max="3" width="7.42578125" customWidth="1"/>
    <col min="4" max="4" width="12.42578125" customWidth="1"/>
    <col min="5" max="5" width="16.5703125" customWidth="1"/>
    <col min="7" max="7" width="9.7109375" style="88" customWidth="1"/>
    <col min="8" max="8" width="11.7109375" customWidth="1"/>
  </cols>
  <sheetData>
    <row r="1" spans="1:8" ht="15.75" x14ac:dyDescent="0.25">
      <c r="B1" s="1" t="s">
        <v>0</v>
      </c>
      <c r="C1" s="1"/>
      <c r="E1" s="2"/>
    </row>
    <row r="2" spans="1:8" ht="15.75" x14ac:dyDescent="0.25">
      <c r="B2" s="12" t="s">
        <v>27</v>
      </c>
      <c r="C2" s="1"/>
      <c r="E2" s="2"/>
    </row>
    <row r="3" spans="1:8" ht="15.75" x14ac:dyDescent="0.25">
      <c r="B3" s="13" t="s">
        <v>29</v>
      </c>
      <c r="C3" s="1"/>
      <c r="E3" s="2"/>
    </row>
    <row r="4" spans="1:8" ht="15.75" x14ac:dyDescent="0.25">
      <c r="B4" s="1" t="s">
        <v>24</v>
      </c>
      <c r="C4" s="1"/>
      <c r="E4" s="2"/>
    </row>
    <row r="5" spans="1:8" ht="15.75" x14ac:dyDescent="0.25">
      <c r="B5" s="11" t="s">
        <v>28</v>
      </c>
      <c r="C5" s="1"/>
      <c r="E5" s="2"/>
    </row>
    <row r="6" spans="1:8" ht="15.75" x14ac:dyDescent="0.25">
      <c r="B6" s="1" t="s">
        <v>40</v>
      </c>
      <c r="C6" s="1"/>
      <c r="E6" s="2"/>
    </row>
    <row r="7" spans="1:8" ht="18.75" x14ac:dyDescent="0.3">
      <c r="A7" s="153" t="s">
        <v>1</v>
      </c>
      <c r="B7" s="153"/>
      <c r="C7" s="153"/>
      <c r="D7" s="153"/>
      <c r="E7" s="153"/>
    </row>
    <row r="8" spans="1:8" ht="15.75" x14ac:dyDescent="0.25">
      <c r="A8" s="154" t="s">
        <v>2</v>
      </c>
      <c r="B8" s="154"/>
      <c r="C8" s="154"/>
      <c r="D8" s="154"/>
      <c r="E8" s="154"/>
    </row>
    <row r="9" spans="1:8" ht="14.25" x14ac:dyDescent="0.2">
      <c r="A9" s="152" t="s">
        <v>32</v>
      </c>
      <c r="B9" s="152"/>
      <c r="C9" s="152"/>
      <c r="D9" s="152"/>
      <c r="E9" s="152"/>
    </row>
    <row r="10" spans="1:8" ht="15.75" x14ac:dyDescent="0.25">
      <c r="A10" s="150" t="s">
        <v>118</v>
      </c>
      <c r="B10" s="150"/>
      <c r="C10" s="150"/>
      <c r="D10" s="150"/>
      <c r="E10" s="150"/>
    </row>
    <row r="11" spans="1:8" ht="14.25" x14ac:dyDescent="0.2">
      <c r="A11" s="151" t="s">
        <v>19</v>
      </c>
      <c r="B11" s="151"/>
      <c r="C11" s="151"/>
      <c r="D11" s="151"/>
      <c r="E11" s="151"/>
    </row>
    <row r="12" spans="1:8" ht="15.75" x14ac:dyDescent="0.25">
      <c r="A12" s="3"/>
      <c r="E12" s="2"/>
    </row>
    <row r="13" spans="1:8" x14ac:dyDescent="0.2">
      <c r="A13" s="18" t="s">
        <v>58</v>
      </c>
      <c r="E13" s="2"/>
    </row>
    <row r="14" spans="1:8" x14ac:dyDescent="0.2">
      <c r="A14" s="155" t="s">
        <v>3</v>
      </c>
      <c r="B14" s="157" t="s">
        <v>17</v>
      </c>
      <c r="C14" s="157" t="s">
        <v>16</v>
      </c>
      <c r="D14" s="159" t="s">
        <v>4</v>
      </c>
      <c r="E14" s="160" t="s">
        <v>5</v>
      </c>
      <c r="G14" s="89"/>
    </row>
    <row r="15" spans="1:8" x14ac:dyDescent="0.2">
      <c r="A15" s="156" t="s">
        <v>3</v>
      </c>
      <c r="B15" s="158"/>
      <c r="C15" s="158"/>
      <c r="D15" s="159"/>
      <c r="E15" s="161" t="s">
        <v>6</v>
      </c>
      <c r="G15" s="90"/>
    </row>
    <row r="16" spans="1:8" x14ac:dyDescent="0.2">
      <c r="A16" s="19">
        <v>1</v>
      </c>
      <c r="B16" s="19">
        <v>2</v>
      </c>
      <c r="C16" s="19">
        <v>3</v>
      </c>
      <c r="D16" s="19">
        <v>4</v>
      </c>
      <c r="E16" s="20">
        <v>5</v>
      </c>
      <c r="F16" s="14"/>
      <c r="H16" s="14"/>
    </row>
    <row r="17" spans="1:8" ht="15.75" x14ac:dyDescent="0.25">
      <c r="A17" s="16" t="s">
        <v>26</v>
      </c>
      <c r="B17" s="16"/>
      <c r="C17" s="16"/>
      <c r="D17" s="81">
        <v>1</v>
      </c>
      <c r="E17" s="36">
        <v>1000000</v>
      </c>
      <c r="G17" s="107" t="str">
        <f>IF(OR(D26&gt;0.55,D30&lt;&gt;(D26*0.302),D25&lt;&gt;1,D35&lt;0.077),"ВНИМАНИЕ"," ")</f>
        <v xml:space="preserve"> </v>
      </c>
    </row>
    <row r="18" spans="1:8" ht="25.5" x14ac:dyDescent="0.2">
      <c r="A18" s="16" t="s">
        <v>46</v>
      </c>
      <c r="B18" s="16"/>
      <c r="C18" s="16"/>
      <c r="D18" s="82">
        <v>0.32</v>
      </c>
      <c r="E18" s="25">
        <f>ROUND($E$17*D18,2)</f>
        <v>320000</v>
      </c>
    </row>
    <row r="19" spans="1:8" x14ac:dyDescent="0.2">
      <c r="A19" s="16" t="s">
        <v>31</v>
      </c>
      <c r="B19" s="37"/>
      <c r="C19" s="37"/>
      <c r="D19" s="82">
        <v>0.1</v>
      </c>
      <c r="E19" s="25">
        <f>ROUND($E$17*D19,2)</f>
        <v>100000</v>
      </c>
    </row>
    <row r="20" spans="1:8" x14ac:dyDescent="0.2">
      <c r="A20" s="16" t="s">
        <v>129</v>
      </c>
      <c r="B20" s="16"/>
      <c r="C20" s="16"/>
      <c r="D20" s="91">
        <f>D17-D18-D19</f>
        <v>0.57999999999999996</v>
      </c>
      <c r="E20" s="25">
        <f>E17-E18-E19</f>
        <v>580000</v>
      </c>
    </row>
    <row r="21" spans="1:8" x14ac:dyDescent="0.2">
      <c r="A21" s="16" t="s">
        <v>130</v>
      </c>
      <c r="B21" s="16"/>
      <c r="C21" s="16"/>
      <c r="D21" s="91"/>
      <c r="E21" s="29">
        <v>26000000</v>
      </c>
    </row>
    <row r="22" spans="1:8" ht="25.5" x14ac:dyDescent="0.2">
      <c r="A22" s="16" t="s">
        <v>131</v>
      </c>
      <c r="B22" s="16"/>
      <c r="C22" s="16"/>
      <c r="D22" s="91"/>
      <c r="E22" s="29">
        <f>E17-E18+E21</f>
        <v>26680000</v>
      </c>
      <c r="H22" s="4"/>
    </row>
    <row r="23" spans="1:8" ht="25.5" x14ac:dyDescent="0.2">
      <c r="A23" s="27" t="s">
        <v>132</v>
      </c>
      <c r="B23" s="27"/>
      <c r="C23" s="27"/>
      <c r="D23" s="92">
        <v>0.03</v>
      </c>
      <c r="E23" s="25">
        <f>ROUND(E22*D23,2)</f>
        <v>800400</v>
      </c>
      <c r="H23" s="4"/>
    </row>
    <row r="24" spans="1:8" ht="25.5" x14ac:dyDescent="0.2">
      <c r="A24" s="16" t="s">
        <v>14</v>
      </c>
      <c r="B24" s="16"/>
      <c r="C24" s="16"/>
      <c r="D24" s="21" t="s">
        <v>18</v>
      </c>
      <c r="E24" s="32">
        <f>E22-E23</f>
        <v>25879600</v>
      </c>
      <c r="H24" s="4"/>
    </row>
    <row r="25" spans="1:8" x14ac:dyDescent="0.2">
      <c r="A25" s="34" t="s">
        <v>38</v>
      </c>
      <c r="B25" s="16"/>
      <c r="C25" s="16"/>
      <c r="D25" s="93">
        <f>SUM(D26:D38)</f>
        <v>1</v>
      </c>
      <c r="E25" s="36">
        <f>SUM(E26:E38)</f>
        <v>25879600</v>
      </c>
      <c r="G25" s="88" t="str">
        <f>IF(D25=1," ","СУММА ПРОЦЕНТОВ НЕ РАВНА 100")</f>
        <v xml:space="preserve"> </v>
      </c>
      <c r="H25" s="4"/>
    </row>
    <row r="26" spans="1:8" x14ac:dyDescent="0.2">
      <c r="A26" s="34" t="s">
        <v>13</v>
      </c>
      <c r="B26" s="21">
        <v>111</v>
      </c>
      <c r="C26" s="21">
        <v>211</v>
      </c>
      <c r="D26" s="94">
        <v>0.55000000000000004</v>
      </c>
      <c r="E26" s="118">
        <f>$E$24*D26</f>
        <v>14233780.000000002</v>
      </c>
      <c r="G26" s="88" t="str">
        <f>IF(D26&gt;0.55,"Необходимо согласование проректора"," ")</f>
        <v xml:space="preserve"> </v>
      </c>
      <c r="H26" s="2"/>
    </row>
    <row r="27" spans="1:8" x14ac:dyDescent="0.2">
      <c r="A27" s="111" t="s">
        <v>43</v>
      </c>
      <c r="B27" s="21">
        <v>112</v>
      </c>
      <c r="C27" s="21">
        <v>212</v>
      </c>
      <c r="D27" s="182">
        <v>4.1999999999999997E-3</v>
      </c>
      <c r="E27" s="119">
        <f t="shared" ref="E27:E38" si="0">$E$24*D27</f>
        <v>108694.31999999999</v>
      </c>
    </row>
    <row r="28" spans="1:8" ht="34.5" x14ac:dyDescent="0.2">
      <c r="A28" s="15" t="s">
        <v>61</v>
      </c>
      <c r="B28" s="21">
        <v>112</v>
      </c>
      <c r="C28" s="21">
        <v>226</v>
      </c>
      <c r="D28" s="182">
        <v>9.7000000000000003E-3</v>
      </c>
      <c r="E28" s="119">
        <f t="shared" si="0"/>
        <v>251032.12</v>
      </c>
    </row>
    <row r="29" spans="1:8" ht="34.5" x14ac:dyDescent="0.2">
      <c r="A29" s="15" t="s">
        <v>62</v>
      </c>
      <c r="B29" s="21">
        <v>113</v>
      </c>
      <c r="C29" s="21">
        <v>226</v>
      </c>
      <c r="D29" s="182">
        <v>1.1000000000000001E-3</v>
      </c>
      <c r="E29" s="119">
        <f t="shared" si="0"/>
        <v>28467.56</v>
      </c>
    </row>
    <row r="30" spans="1:8" x14ac:dyDescent="0.2">
      <c r="A30" s="34" t="s">
        <v>63</v>
      </c>
      <c r="B30" s="21">
        <v>119</v>
      </c>
      <c r="C30" s="21">
        <v>213</v>
      </c>
      <c r="D30" s="94">
        <f>D26*0.302</f>
        <v>0.1661</v>
      </c>
      <c r="E30" s="118">
        <f t="shared" si="0"/>
        <v>4298601.5599999996</v>
      </c>
      <c r="G30" s="88" t="str">
        <f>IF((D30=(D26*0.302))," ","СТРАХОВЫЕ ВЫПЛАТЫ НЕ РАВНЫ 30,2% ОТ 111/211")</f>
        <v xml:space="preserve"> </v>
      </c>
      <c r="H30" s="2"/>
    </row>
    <row r="31" spans="1:8" x14ac:dyDescent="0.2">
      <c r="A31" s="16" t="s">
        <v>64</v>
      </c>
      <c r="B31" s="21">
        <v>244</v>
      </c>
      <c r="C31" s="21">
        <v>221</v>
      </c>
      <c r="D31" s="182">
        <v>0.01</v>
      </c>
      <c r="E31" s="119">
        <f t="shared" si="0"/>
        <v>258796</v>
      </c>
      <c r="H31" s="2"/>
    </row>
    <row r="32" spans="1:8" x14ac:dyDescent="0.2">
      <c r="A32" s="16" t="s">
        <v>65</v>
      </c>
      <c r="B32" s="21">
        <v>244</v>
      </c>
      <c r="C32" s="21">
        <v>222</v>
      </c>
      <c r="D32" s="182">
        <v>0.01</v>
      </c>
      <c r="E32" s="119">
        <f t="shared" si="0"/>
        <v>258796</v>
      </c>
      <c r="H32" s="2"/>
    </row>
    <row r="33" spans="1:8" x14ac:dyDescent="0.2">
      <c r="A33" s="16" t="s">
        <v>66</v>
      </c>
      <c r="B33" s="21">
        <v>244</v>
      </c>
      <c r="C33" s="21">
        <v>223</v>
      </c>
      <c r="D33" s="182">
        <v>0</v>
      </c>
      <c r="E33" s="119">
        <f t="shared" si="0"/>
        <v>0</v>
      </c>
    </row>
    <row r="34" spans="1:8" x14ac:dyDescent="0.2">
      <c r="A34" s="16" t="s">
        <v>67</v>
      </c>
      <c r="B34" s="21">
        <v>244</v>
      </c>
      <c r="C34" s="21">
        <v>224</v>
      </c>
      <c r="D34" s="182">
        <v>2E-3</v>
      </c>
      <c r="E34" s="119">
        <f t="shared" si="0"/>
        <v>51759.200000000004</v>
      </c>
      <c r="H34" s="2"/>
    </row>
    <row r="35" spans="1:8" x14ac:dyDescent="0.2">
      <c r="A35" s="34" t="s">
        <v>68</v>
      </c>
      <c r="B35" s="21">
        <v>244</v>
      </c>
      <c r="C35" s="21">
        <v>225</v>
      </c>
      <c r="D35" s="94">
        <v>7.6999999999999999E-2</v>
      </c>
      <c r="E35" s="118">
        <f t="shared" si="0"/>
        <v>1992729.2</v>
      </c>
      <c r="G35" s="88" t="str">
        <f>IF(D35&gt;=0.077," ","Процент не соответствует регламенту, требуется согласование Проректора по экономике и финансам")</f>
        <v xml:space="preserve"> </v>
      </c>
      <c r="H35" s="2"/>
    </row>
    <row r="36" spans="1:8" x14ac:dyDescent="0.2">
      <c r="A36" s="16" t="s">
        <v>69</v>
      </c>
      <c r="B36" s="21">
        <v>244</v>
      </c>
      <c r="C36" s="21">
        <v>226</v>
      </c>
      <c r="D36" s="182">
        <v>6.4899999999999999E-2</v>
      </c>
      <c r="E36" s="119">
        <f t="shared" si="0"/>
        <v>1679586.04</v>
      </c>
      <c r="H36" s="2"/>
    </row>
    <row r="37" spans="1:8" x14ac:dyDescent="0.2">
      <c r="A37" s="16" t="s">
        <v>70</v>
      </c>
      <c r="B37" s="21">
        <v>244</v>
      </c>
      <c r="C37" s="21">
        <v>310</v>
      </c>
      <c r="D37" s="182">
        <v>0.05</v>
      </c>
      <c r="E37" s="119">
        <f t="shared" si="0"/>
        <v>1293980</v>
      </c>
    </row>
    <row r="38" spans="1:8" x14ac:dyDescent="0.2">
      <c r="A38" s="27" t="s">
        <v>76</v>
      </c>
      <c r="B38" s="21">
        <v>244</v>
      </c>
      <c r="C38" s="21">
        <v>340</v>
      </c>
      <c r="D38" s="182">
        <v>5.5E-2</v>
      </c>
      <c r="E38" s="119">
        <f t="shared" si="0"/>
        <v>1423378</v>
      </c>
    </row>
    <row r="39" spans="1:8" x14ac:dyDescent="0.2">
      <c r="A39" s="120" t="s">
        <v>98</v>
      </c>
      <c r="B39" s="121"/>
      <c r="C39" s="121"/>
      <c r="D39" s="122">
        <f>D25-1</f>
        <v>0</v>
      </c>
      <c r="E39" s="123">
        <f>E25-E24</f>
        <v>0</v>
      </c>
      <c r="F39" s="23" t="s">
        <v>99</v>
      </c>
    </row>
    <row r="40" spans="1:8" ht="15.75" x14ac:dyDescent="0.2">
      <c r="A40" s="9" t="s">
        <v>15</v>
      </c>
      <c r="B40" s="124"/>
      <c r="C40" s="124"/>
      <c r="D40" s="125"/>
      <c r="E40" s="126"/>
    </row>
    <row r="41" spans="1:8" x14ac:dyDescent="0.2">
      <c r="A41" s="149"/>
      <c r="B41" s="149"/>
      <c r="C41" s="149"/>
      <c r="D41" s="149"/>
      <c r="E41" s="149"/>
      <c r="F41" s="73"/>
    </row>
    <row r="42" spans="1:8" x14ac:dyDescent="0.2">
      <c r="A42" s="71"/>
      <c r="B42" s="71"/>
      <c r="C42" s="71"/>
      <c r="D42" s="71"/>
      <c r="E42" s="71"/>
      <c r="F42" s="71"/>
    </row>
    <row r="43" spans="1:8" ht="15.75" x14ac:dyDescent="0.25">
      <c r="A43" s="12" t="s">
        <v>44</v>
      </c>
      <c r="E43" s="8"/>
    </row>
    <row r="44" spans="1:8" ht="15.75" x14ac:dyDescent="0.25">
      <c r="A44" s="11" t="s">
        <v>34</v>
      </c>
      <c r="E44" s="8"/>
    </row>
  </sheetData>
  <mergeCells count="11">
    <mergeCell ref="A41:E41"/>
    <mergeCell ref="A10:E10"/>
    <mergeCell ref="A11:E11"/>
    <mergeCell ref="A9:E9"/>
    <mergeCell ref="A7:E7"/>
    <mergeCell ref="A8:E8"/>
    <mergeCell ref="A14:A15"/>
    <mergeCell ref="B14:B15"/>
    <mergeCell ref="C14:C15"/>
    <mergeCell ref="D14:D15"/>
    <mergeCell ref="E14:E15"/>
  </mergeCells>
  <phoneticPr fontId="11" type="noConversion"/>
  <conditionalFormatting sqref="D39">
    <cfRule type="cellIs" dxfId="114" priority="16" stopIfTrue="1" operator="equal">
      <formula>0</formula>
    </cfRule>
    <cfRule type="cellIs" dxfId="113" priority="17" stopIfTrue="1" operator="greaterThan">
      <formula>0</formula>
    </cfRule>
  </conditionalFormatting>
  <conditionalFormatting sqref="D39">
    <cfRule type="cellIs" dxfId="112" priority="4" stopIfTrue="1" operator="equal">
      <formula>0</formula>
    </cfRule>
    <cfRule type="cellIs" dxfId="111" priority="5" stopIfTrue="1" operator="lessThan">
      <formula>0</formula>
    </cfRule>
    <cfRule type="cellIs" dxfId="110" priority="6" stopIfTrue="1" operator="greaterThan">
      <formula>0</formula>
    </cfRule>
    <cfRule type="cellIs" priority="7" stopIfTrue="1" operator="notEqual">
      <formula>0</formula>
    </cfRule>
    <cfRule type="cellIs" priority="8" stopIfTrue="1" operator="notEqual">
      <formula>0</formula>
    </cfRule>
    <cfRule type="cellIs" dxfId="109" priority="9" stopIfTrue="1" operator="equal">
      <formula>0</formula>
    </cfRule>
    <cfRule type="cellIs" dxfId="108" priority="10" stopIfTrue="1" operator="greaterThan">
      <formula>0.0001</formula>
    </cfRule>
    <cfRule type="cellIs" dxfId="107" priority="11" stopIfTrue="1" operator="greaterThan">
      <formula>0</formula>
    </cfRule>
    <cfRule type="cellIs" dxfId="106" priority="15" stopIfTrue="1" operator="lessThan">
      <formula>0</formula>
    </cfRule>
  </conditionalFormatting>
  <conditionalFormatting sqref="E39">
    <cfRule type="cellIs" dxfId="105" priority="13" stopIfTrue="1" operator="equal">
      <formula>0</formula>
    </cfRule>
    <cfRule type="cellIs" dxfId="104" priority="14" stopIfTrue="1" operator="greaterThan">
      <formula>0</formula>
    </cfRule>
  </conditionalFormatting>
  <conditionalFormatting sqref="E39">
    <cfRule type="cellIs" dxfId="103" priority="12" stopIfTrue="1" operator="lessThan">
      <formula>0</formula>
    </cfRule>
  </conditionalFormatting>
  <conditionalFormatting sqref="D35">
    <cfRule type="cellIs" dxfId="102" priority="3" stopIfTrue="1" operator="lessThan">
      <formula>0.077</formula>
    </cfRule>
  </conditionalFormatting>
  <conditionalFormatting sqref="D30">
    <cfRule type="cellIs" dxfId="101" priority="2" stopIfTrue="1" operator="notEqual">
      <formula>$D$26*0.302</formula>
    </cfRule>
  </conditionalFormatting>
  <conditionalFormatting sqref="D25">
    <cfRule type="cellIs" dxfId="100" priority="1" stopIfTrue="1" operator="notEqual">
      <formula>1</formula>
    </cfRule>
  </conditionalFormatting>
  <pageMargins left="0.75" right="0.75" top="1" bottom="1" header="0.5" footer="0.5"/>
  <pageSetup paperSize="9" scale="71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DC2980-DF84-4BD4-9C16-0A44C4C5733A}">
  <dimension ref="A1:K40"/>
  <sheetViews>
    <sheetView topLeftCell="A3" zoomScale="90" zoomScaleNormal="90" workbookViewId="0">
      <selection activeCell="G31" sqref="G31"/>
    </sheetView>
  </sheetViews>
  <sheetFormatPr defaultColWidth="8.85546875" defaultRowHeight="12.75" x14ac:dyDescent="0.2"/>
  <cols>
    <col min="1" max="1" width="63" customWidth="1"/>
    <col min="2" max="2" width="7" customWidth="1"/>
    <col min="3" max="3" width="7.42578125" customWidth="1"/>
    <col min="4" max="4" width="15.7109375" bestFit="1" customWidth="1"/>
    <col min="5" max="5" width="12.140625" bestFit="1" customWidth="1"/>
    <col min="6" max="6" width="8.85546875" customWidth="1"/>
    <col min="7" max="7" width="14.140625" bestFit="1" customWidth="1"/>
  </cols>
  <sheetData>
    <row r="1" spans="1:5" ht="15.75" x14ac:dyDescent="0.25">
      <c r="B1" s="1" t="s">
        <v>0</v>
      </c>
      <c r="C1" s="1"/>
      <c r="E1" s="2"/>
    </row>
    <row r="2" spans="1:5" ht="15.75" x14ac:dyDescent="0.25">
      <c r="B2" s="12" t="s">
        <v>27</v>
      </c>
      <c r="C2" s="1"/>
      <c r="E2" s="2"/>
    </row>
    <row r="3" spans="1:5" ht="17.25" customHeight="1" x14ac:dyDescent="0.25">
      <c r="B3" s="12" t="s">
        <v>29</v>
      </c>
      <c r="C3" s="1"/>
      <c r="E3" s="2"/>
    </row>
    <row r="4" spans="1:5" ht="15.75" x14ac:dyDescent="0.25">
      <c r="B4" s="1" t="s">
        <v>24</v>
      </c>
      <c r="C4" s="1"/>
      <c r="E4" s="2"/>
    </row>
    <row r="5" spans="1:5" ht="15.75" x14ac:dyDescent="0.25">
      <c r="B5" s="11" t="s">
        <v>28</v>
      </c>
      <c r="C5" s="1"/>
      <c r="E5" s="2"/>
    </row>
    <row r="6" spans="1:5" ht="13.7" customHeight="1" x14ac:dyDescent="0.25">
      <c r="B6" s="1" t="s">
        <v>41</v>
      </c>
      <c r="C6" s="1"/>
      <c r="E6" s="2"/>
    </row>
    <row r="7" spans="1:5" ht="18.75" x14ac:dyDescent="0.3">
      <c r="A7" s="128" t="s">
        <v>1</v>
      </c>
      <c r="E7" s="2"/>
    </row>
    <row r="8" spans="1:5" ht="15.75" x14ac:dyDescent="0.25">
      <c r="A8" s="154" t="s">
        <v>2</v>
      </c>
      <c r="B8" s="154"/>
      <c r="C8" s="154"/>
      <c r="D8" s="154"/>
      <c r="E8" s="154"/>
    </row>
    <row r="9" spans="1:5" ht="14.25" x14ac:dyDescent="0.2">
      <c r="A9" s="152" t="s">
        <v>32</v>
      </c>
      <c r="B9" s="152"/>
      <c r="C9" s="152"/>
      <c r="D9" s="152"/>
      <c r="E9" s="152"/>
    </row>
    <row r="10" spans="1:5" ht="15.75" x14ac:dyDescent="0.25">
      <c r="A10" s="150" t="s">
        <v>118</v>
      </c>
      <c r="B10" s="150"/>
      <c r="C10" s="150"/>
      <c r="D10" s="150"/>
      <c r="E10" s="150"/>
    </row>
    <row r="11" spans="1:5" ht="14.25" x14ac:dyDescent="0.2">
      <c r="A11" s="151" t="s">
        <v>19</v>
      </c>
      <c r="B11" s="151"/>
      <c r="C11" s="151"/>
      <c r="D11" s="151"/>
      <c r="E11" s="151"/>
    </row>
    <row r="12" spans="1:5" ht="15.75" x14ac:dyDescent="0.25">
      <c r="A12" s="3"/>
      <c r="E12" s="2"/>
    </row>
    <row r="13" spans="1:5" x14ac:dyDescent="0.2">
      <c r="A13" s="66" t="s">
        <v>56</v>
      </c>
      <c r="E13" s="2"/>
    </row>
    <row r="14" spans="1:5" x14ac:dyDescent="0.2">
      <c r="A14" s="155" t="s">
        <v>3</v>
      </c>
      <c r="B14" s="157" t="s">
        <v>17</v>
      </c>
      <c r="C14" s="157" t="s">
        <v>16</v>
      </c>
      <c r="D14" s="163" t="s">
        <v>4</v>
      </c>
      <c r="E14" s="160" t="s">
        <v>5</v>
      </c>
    </row>
    <row r="15" spans="1:5" x14ac:dyDescent="0.2">
      <c r="A15" s="156" t="s">
        <v>3</v>
      </c>
      <c r="B15" s="158"/>
      <c r="C15" s="158"/>
      <c r="D15" s="163"/>
      <c r="E15" s="161" t="s">
        <v>6</v>
      </c>
    </row>
    <row r="16" spans="1:5" s="14" customFormat="1" ht="11.25" x14ac:dyDescent="0.2">
      <c r="A16" s="19">
        <v>1</v>
      </c>
      <c r="B16" s="19">
        <v>2</v>
      </c>
      <c r="C16" s="19">
        <v>3</v>
      </c>
      <c r="D16" s="129">
        <v>4</v>
      </c>
      <c r="E16" s="20">
        <v>5</v>
      </c>
    </row>
    <row r="17" spans="1:11" ht="12.6" customHeight="1" x14ac:dyDescent="0.2">
      <c r="A17" s="38" t="s">
        <v>133</v>
      </c>
      <c r="B17" s="130"/>
      <c r="C17" s="131"/>
      <c r="D17" s="132">
        <v>100</v>
      </c>
      <c r="E17" s="29">
        <v>70000</v>
      </c>
      <c r="F17" s="108"/>
      <c r="G17" s="108"/>
      <c r="H17" s="108"/>
      <c r="I17" s="108"/>
    </row>
    <row r="18" spans="1:11" ht="25.5" x14ac:dyDescent="0.2">
      <c r="A18" s="27" t="s">
        <v>151</v>
      </c>
      <c r="B18" s="130"/>
      <c r="C18" s="131"/>
      <c r="D18" s="24">
        <v>3</v>
      </c>
      <c r="E18" s="25">
        <f>ROUND(E17*D18/100,2)</f>
        <v>2100</v>
      </c>
      <c r="F18" s="108"/>
      <c r="G18" s="108"/>
      <c r="H18" s="108"/>
      <c r="I18" s="108"/>
    </row>
    <row r="19" spans="1:11" ht="25.5" x14ac:dyDescent="0.2">
      <c r="A19" s="16" t="s">
        <v>134</v>
      </c>
      <c r="B19" s="127"/>
      <c r="C19" s="127"/>
      <c r="D19" s="133" t="s">
        <v>135</v>
      </c>
      <c r="E19" s="32">
        <f>E17-E18</f>
        <v>67900</v>
      </c>
      <c r="F19" s="108"/>
      <c r="G19" s="108"/>
      <c r="H19" s="108"/>
      <c r="I19" s="108"/>
    </row>
    <row r="20" spans="1:11" x14ac:dyDescent="0.2">
      <c r="A20" s="34" t="s">
        <v>150</v>
      </c>
      <c r="B20" s="127"/>
      <c r="C20" s="127"/>
      <c r="D20" s="93">
        <f>SUM(D21:D33)+D34</f>
        <v>1</v>
      </c>
      <c r="E20" s="36">
        <f>SUM(E21:E33)+E34</f>
        <v>67900</v>
      </c>
      <c r="F20" s="108"/>
      <c r="G20" s="88" t="str">
        <f>IF(D20=1," ","СУММА ПРОЦЕНТОВ НЕ РАВНА 100")</f>
        <v xml:space="preserve"> </v>
      </c>
      <c r="H20" s="108"/>
      <c r="I20" s="108"/>
    </row>
    <row r="21" spans="1:11" ht="15.75" customHeight="1" x14ac:dyDescent="0.2">
      <c r="A21" s="34" t="s">
        <v>136</v>
      </c>
      <c r="B21" s="127">
        <v>111</v>
      </c>
      <c r="C21" s="127">
        <v>211</v>
      </c>
      <c r="D21" s="183">
        <v>0.55000000000000004</v>
      </c>
      <c r="E21" s="36">
        <f>$E$19*D21</f>
        <v>37345</v>
      </c>
      <c r="F21" s="108"/>
      <c r="G21" s="88" t="str">
        <f>IF(D21&gt;0.55,"Необходимо согласование проректора"," ")</f>
        <v xml:space="preserve"> </v>
      </c>
      <c r="H21" s="108"/>
      <c r="I21" s="108"/>
    </row>
    <row r="22" spans="1:11" x14ac:dyDescent="0.2">
      <c r="A22" s="111" t="s">
        <v>137</v>
      </c>
      <c r="B22" s="127">
        <v>112</v>
      </c>
      <c r="C22" s="127">
        <v>212</v>
      </c>
      <c r="D22" s="184">
        <v>4.1999999999999997E-3</v>
      </c>
      <c r="E22" s="25">
        <f t="shared" ref="E22:E33" si="0">$E$19*D22</f>
        <v>285.18</v>
      </c>
      <c r="F22" s="108"/>
      <c r="G22" s="88"/>
      <c r="H22" s="108"/>
      <c r="I22" s="108"/>
    </row>
    <row r="23" spans="1:11" ht="22.5" x14ac:dyDescent="0.2">
      <c r="A23" s="15" t="s">
        <v>138</v>
      </c>
      <c r="B23" s="127">
        <v>112</v>
      </c>
      <c r="C23" s="127">
        <v>226</v>
      </c>
      <c r="D23" s="184">
        <v>9.7000000000000003E-3</v>
      </c>
      <c r="E23" s="25">
        <f t="shared" si="0"/>
        <v>658.63</v>
      </c>
      <c r="F23" s="108"/>
      <c r="G23" s="88"/>
      <c r="H23" s="108"/>
      <c r="I23" s="108"/>
    </row>
    <row r="24" spans="1:11" ht="33.75" x14ac:dyDescent="0.2">
      <c r="A24" s="15" t="s">
        <v>139</v>
      </c>
      <c r="B24" s="127">
        <v>113</v>
      </c>
      <c r="C24" s="127">
        <v>226</v>
      </c>
      <c r="D24" s="184">
        <v>1.1000000000000001E-3</v>
      </c>
      <c r="E24" s="25">
        <f t="shared" si="0"/>
        <v>74.69</v>
      </c>
      <c r="F24" s="108"/>
      <c r="G24" s="88"/>
      <c r="H24" s="108"/>
      <c r="I24" s="108"/>
    </row>
    <row r="25" spans="1:11" x14ac:dyDescent="0.2">
      <c r="A25" s="34" t="s">
        <v>140</v>
      </c>
      <c r="B25" s="127">
        <v>119</v>
      </c>
      <c r="C25" s="127">
        <v>213</v>
      </c>
      <c r="D25" s="183">
        <f>D21*0.302</f>
        <v>0.1661</v>
      </c>
      <c r="E25" s="36">
        <f t="shared" si="0"/>
        <v>11278.19</v>
      </c>
      <c r="F25" s="108"/>
      <c r="G25" s="88" t="str">
        <f>IF((D25=(D21*0.302))," ","СТРАХОВЫЕ ВЫПЛАТЫ НЕ РАВНЫ 30,2% ОТ 111/211")</f>
        <v xml:space="preserve"> </v>
      </c>
      <c r="H25" s="108"/>
      <c r="I25" s="108"/>
    </row>
    <row r="26" spans="1:11" x14ac:dyDescent="0.2">
      <c r="A26" s="16" t="s">
        <v>141</v>
      </c>
      <c r="B26" s="127">
        <v>244</v>
      </c>
      <c r="C26" s="127">
        <v>221</v>
      </c>
      <c r="D26" s="184">
        <v>0.01</v>
      </c>
      <c r="E26" s="25">
        <f t="shared" si="0"/>
        <v>679</v>
      </c>
      <c r="F26" s="108"/>
      <c r="G26" s="88"/>
      <c r="H26" s="108"/>
      <c r="I26" s="108"/>
    </row>
    <row r="27" spans="1:11" x14ac:dyDescent="0.2">
      <c r="A27" s="16" t="s">
        <v>142</v>
      </c>
      <c r="B27" s="127">
        <v>244</v>
      </c>
      <c r="C27" s="127">
        <v>222</v>
      </c>
      <c r="D27" s="184">
        <v>0.01</v>
      </c>
      <c r="E27" s="25">
        <f t="shared" si="0"/>
        <v>679</v>
      </c>
      <c r="F27" s="108"/>
      <c r="G27" s="88"/>
      <c r="H27" s="108"/>
      <c r="I27" s="108"/>
    </row>
    <row r="28" spans="1:11" x14ac:dyDescent="0.2">
      <c r="A28" s="16" t="s">
        <v>143</v>
      </c>
      <c r="B28" s="127">
        <v>244</v>
      </c>
      <c r="C28" s="127">
        <v>223</v>
      </c>
      <c r="D28" s="184">
        <v>0</v>
      </c>
      <c r="E28" s="25">
        <f t="shared" si="0"/>
        <v>0</v>
      </c>
      <c r="F28" s="108"/>
      <c r="G28" s="88"/>
      <c r="H28" s="108"/>
      <c r="I28" s="108"/>
    </row>
    <row r="29" spans="1:11" x14ac:dyDescent="0.2">
      <c r="A29" s="16" t="s">
        <v>144</v>
      </c>
      <c r="B29" s="127">
        <v>244</v>
      </c>
      <c r="C29" s="127">
        <v>224</v>
      </c>
      <c r="D29" s="184">
        <v>2E-3</v>
      </c>
      <c r="E29" s="25">
        <f t="shared" si="0"/>
        <v>135.80000000000001</v>
      </c>
      <c r="F29" s="108"/>
      <c r="G29" s="88"/>
      <c r="H29" s="108"/>
      <c r="I29" s="108"/>
      <c r="K29" s="2"/>
    </row>
    <row r="30" spans="1:11" x14ac:dyDescent="0.2">
      <c r="A30" s="34" t="s">
        <v>145</v>
      </c>
      <c r="B30" s="127">
        <v>244</v>
      </c>
      <c r="C30" s="127">
        <v>225</v>
      </c>
      <c r="D30" s="183">
        <v>7.6999999999999999E-2</v>
      </c>
      <c r="E30" s="36">
        <f t="shared" si="0"/>
        <v>5228.3</v>
      </c>
      <c r="F30" s="108"/>
      <c r="G30" s="88" t="str">
        <f>IF(D30&gt;=0.077," ","Процент не соответствует регламенту, требуется согласование Проректора по экономике и финансам")</f>
        <v xml:space="preserve"> </v>
      </c>
      <c r="H30" s="108"/>
      <c r="I30" s="108"/>
    </row>
    <row r="31" spans="1:11" x14ac:dyDescent="0.2">
      <c r="A31" s="16" t="s">
        <v>146</v>
      </c>
      <c r="B31" s="127">
        <v>244</v>
      </c>
      <c r="C31" s="127">
        <v>226</v>
      </c>
      <c r="D31" s="184">
        <v>6.4899999999999999E-2</v>
      </c>
      <c r="E31" s="25">
        <f t="shared" si="0"/>
        <v>4406.71</v>
      </c>
      <c r="F31" s="108"/>
      <c r="G31" s="88"/>
      <c r="H31" s="108"/>
      <c r="I31" s="108"/>
    </row>
    <row r="32" spans="1:11" x14ac:dyDescent="0.2">
      <c r="A32" s="16" t="s">
        <v>147</v>
      </c>
      <c r="B32" s="127">
        <v>244</v>
      </c>
      <c r="C32" s="127">
        <v>310</v>
      </c>
      <c r="D32" s="184">
        <v>0.05</v>
      </c>
      <c r="E32" s="25">
        <f t="shared" si="0"/>
        <v>3395</v>
      </c>
      <c r="F32" s="108"/>
      <c r="G32" s="88"/>
      <c r="H32" s="108"/>
      <c r="I32" s="108"/>
    </row>
    <row r="33" spans="1:9" x14ac:dyDescent="0.2">
      <c r="A33" s="16" t="s">
        <v>148</v>
      </c>
      <c r="B33" s="127">
        <v>244</v>
      </c>
      <c r="C33" s="127">
        <v>340</v>
      </c>
      <c r="D33" s="184">
        <v>5.5E-2</v>
      </c>
      <c r="E33" s="25">
        <f t="shared" si="0"/>
        <v>3734.5</v>
      </c>
      <c r="F33" s="108"/>
      <c r="G33" s="88"/>
      <c r="H33" s="108"/>
      <c r="I33" s="108"/>
    </row>
    <row r="34" spans="1:9" x14ac:dyDescent="0.2">
      <c r="A34" s="16" t="s">
        <v>149</v>
      </c>
      <c r="B34" s="127">
        <v>340</v>
      </c>
      <c r="C34" s="127">
        <v>296</v>
      </c>
      <c r="D34" s="184">
        <v>0</v>
      </c>
      <c r="E34" s="25">
        <f>$E$19*D34</f>
        <v>0</v>
      </c>
      <c r="F34" s="108"/>
      <c r="G34" s="108"/>
      <c r="H34" s="108"/>
      <c r="I34" s="108"/>
    </row>
    <row r="35" spans="1:9" x14ac:dyDescent="0.2">
      <c r="A35" s="120" t="s">
        <v>98</v>
      </c>
      <c r="B35" s="121"/>
      <c r="C35" s="121"/>
      <c r="D35" s="122">
        <f>D20-1</f>
        <v>0</v>
      </c>
      <c r="E35" s="80">
        <f>E20-E19</f>
        <v>0</v>
      </c>
      <c r="F35" s="23" t="s">
        <v>99</v>
      </c>
    </row>
    <row r="36" spans="1:9" ht="15.75" x14ac:dyDescent="0.2">
      <c r="A36" s="9" t="s">
        <v>15</v>
      </c>
      <c r="B36" s="124"/>
      <c r="C36" s="124"/>
      <c r="D36" s="125"/>
      <c r="E36" s="126"/>
      <c r="F36" s="108"/>
      <c r="G36" s="108"/>
      <c r="H36" s="108"/>
      <c r="I36" s="108"/>
    </row>
    <row r="37" spans="1:9" ht="15" x14ac:dyDescent="0.25">
      <c r="A37" s="162"/>
      <c r="B37" s="162"/>
      <c r="C37" s="162"/>
      <c r="D37" s="162"/>
      <c r="E37" s="162"/>
      <c r="F37" s="117"/>
      <c r="G37" s="108"/>
      <c r="H37" s="108"/>
      <c r="I37" s="108"/>
    </row>
    <row r="38" spans="1:9" ht="15" customHeight="1" x14ac:dyDescent="0.25">
      <c r="A38" s="134"/>
      <c r="B38" s="134"/>
      <c r="C38" s="134"/>
      <c r="D38" s="134"/>
      <c r="E38" s="134"/>
      <c r="F38" s="134"/>
      <c r="G38" s="108"/>
      <c r="H38" s="108"/>
      <c r="I38" s="108"/>
    </row>
    <row r="39" spans="1:9" ht="15.75" x14ac:dyDescent="0.25">
      <c r="A39" s="12" t="s">
        <v>45</v>
      </c>
      <c r="E39" s="8"/>
    </row>
    <row r="40" spans="1:9" ht="15.75" x14ac:dyDescent="0.25">
      <c r="A40" s="11" t="s">
        <v>36</v>
      </c>
      <c r="E40" s="8"/>
    </row>
  </sheetData>
  <mergeCells count="10">
    <mergeCell ref="A37:E37"/>
    <mergeCell ref="A8:E8"/>
    <mergeCell ref="A9:E9"/>
    <mergeCell ref="A10:E10"/>
    <mergeCell ref="A11:E11"/>
    <mergeCell ref="A14:A15"/>
    <mergeCell ref="B14:B15"/>
    <mergeCell ref="C14:C15"/>
    <mergeCell ref="D14:D15"/>
    <mergeCell ref="E14:E15"/>
  </mergeCells>
  <conditionalFormatting sqref="D35">
    <cfRule type="cellIs" dxfId="99" priority="16" stopIfTrue="1" operator="equal">
      <formula>0</formula>
    </cfRule>
    <cfRule type="cellIs" dxfId="98" priority="17" stopIfTrue="1" operator="greaterThan">
      <formula>0</formula>
    </cfRule>
  </conditionalFormatting>
  <conditionalFormatting sqref="D35">
    <cfRule type="cellIs" dxfId="97" priority="4" stopIfTrue="1" operator="equal">
      <formula>0</formula>
    </cfRule>
    <cfRule type="cellIs" dxfId="96" priority="5" stopIfTrue="1" operator="lessThan">
      <formula>0</formula>
    </cfRule>
    <cfRule type="cellIs" dxfId="95" priority="6" stopIfTrue="1" operator="greaterThan">
      <formula>0</formula>
    </cfRule>
    <cfRule type="cellIs" priority="7" stopIfTrue="1" operator="notEqual">
      <formula>0</formula>
    </cfRule>
    <cfRule type="cellIs" priority="8" stopIfTrue="1" operator="notEqual">
      <formula>0</formula>
    </cfRule>
    <cfRule type="cellIs" dxfId="94" priority="9" stopIfTrue="1" operator="equal">
      <formula>0</formula>
    </cfRule>
    <cfRule type="cellIs" dxfId="93" priority="10" stopIfTrue="1" operator="greaterThan">
      <formula>0.0001</formula>
    </cfRule>
    <cfRule type="cellIs" dxfId="92" priority="11" stopIfTrue="1" operator="greaterThan">
      <formula>0</formula>
    </cfRule>
    <cfRule type="cellIs" dxfId="91" priority="15" stopIfTrue="1" operator="lessThan">
      <formula>0</formula>
    </cfRule>
  </conditionalFormatting>
  <conditionalFormatting sqref="E35">
    <cfRule type="cellIs" dxfId="90" priority="13" stopIfTrue="1" operator="equal">
      <formula>0</formula>
    </cfRule>
    <cfRule type="cellIs" dxfId="89" priority="14" stopIfTrue="1" operator="greaterThan">
      <formula>0</formula>
    </cfRule>
  </conditionalFormatting>
  <conditionalFormatting sqref="E35">
    <cfRule type="cellIs" dxfId="88" priority="12" stopIfTrue="1" operator="lessThan">
      <formula>0</formula>
    </cfRule>
  </conditionalFormatting>
  <conditionalFormatting sqref="D30">
    <cfRule type="cellIs" dxfId="87" priority="3" stopIfTrue="1" operator="lessThan">
      <formula>0.077</formula>
    </cfRule>
  </conditionalFormatting>
  <conditionalFormatting sqref="D25">
    <cfRule type="cellIs" dxfId="86" priority="2" stopIfTrue="1" operator="notEqual">
      <formula>$D$21*0.302</formula>
    </cfRule>
  </conditionalFormatting>
  <conditionalFormatting sqref="D20">
    <cfRule type="cellIs" dxfId="85" priority="1" stopIfTrue="1" operator="notEqual">
      <formula>1</formula>
    </cfRule>
  </conditionalFormatting>
  <pageMargins left="0.75" right="0.75" top="1" bottom="1" header="0.5" footer="0.5"/>
  <pageSetup paperSize="9" scale="77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42"/>
  <sheetViews>
    <sheetView topLeftCell="A11" zoomScale="90" zoomScaleNormal="90" workbookViewId="0">
      <selection activeCell="G35" sqref="G35"/>
    </sheetView>
  </sheetViews>
  <sheetFormatPr defaultColWidth="8.85546875" defaultRowHeight="12.75" x14ac:dyDescent="0.2"/>
  <cols>
    <col min="1" max="1" width="56.28515625" style="43" customWidth="1"/>
    <col min="2" max="2" width="8.85546875" style="43"/>
    <col min="3" max="3" width="9.7109375" style="43" customWidth="1"/>
    <col min="4" max="4" width="14" style="43" customWidth="1"/>
    <col min="5" max="5" width="12" style="43" customWidth="1"/>
    <col min="6" max="6" width="8.85546875" style="43"/>
    <col min="7" max="7" width="12.5703125" style="43" bestFit="1" customWidth="1"/>
    <col min="8" max="9" width="10.140625" style="43" bestFit="1" customWidth="1"/>
    <col min="10" max="16384" width="8.85546875" style="43"/>
  </cols>
  <sheetData>
    <row r="1" spans="1:7" ht="15.75" x14ac:dyDescent="0.25">
      <c r="B1" s="44" t="s">
        <v>0</v>
      </c>
      <c r="C1" s="44"/>
      <c r="E1" s="45"/>
    </row>
    <row r="2" spans="1:7" ht="15.75" x14ac:dyDescent="0.25">
      <c r="B2" s="46" t="s">
        <v>27</v>
      </c>
      <c r="C2" s="44"/>
      <c r="E2" s="45"/>
    </row>
    <row r="3" spans="1:7" ht="15.75" x14ac:dyDescent="0.25">
      <c r="B3" s="47" t="s">
        <v>29</v>
      </c>
      <c r="C3" s="44"/>
      <c r="E3" s="45"/>
    </row>
    <row r="4" spans="1:7" ht="15.75" x14ac:dyDescent="0.25">
      <c r="B4" s="44" t="s">
        <v>24</v>
      </c>
      <c r="C4" s="44"/>
      <c r="E4" s="45"/>
    </row>
    <row r="5" spans="1:7" ht="15.75" x14ac:dyDescent="0.25">
      <c r="B5" s="48" t="s">
        <v>28</v>
      </c>
      <c r="C5" s="44"/>
      <c r="E5" s="45"/>
    </row>
    <row r="6" spans="1:7" ht="15.75" x14ac:dyDescent="0.25">
      <c r="B6" s="44" t="s">
        <v>41</v>
      </c>
      <c r="C6" s="44"/>
      <c r="E6" s="45"/>
    </row>
    <row r="7" spans="1:7" ht="18.75" x14ac:dyDescent="0.3">
      <c r="A7" s="49" t="s">
        <v>1</v>
      </c>
      <c r="E7" s="45"/>
    </row>
    <row r="8" spans="1:7" ht="15.75" x14ac:dyDescent="0.25">
      <c r="A8" s="164" t="s">
        <v>2</v>
      </c>
      <c r="B8" s="164"/>
      <c r="C8" s="164"/>
      <c r="D8" s="164"/>
      <c r="E8" s="164"/>
    </row>
    <row r="9" spans="1:7" ht="14.25" x14ac:dyDescent="0.2">
      <c r="A9" s="167" t="s">
        <v>74</v>
      </c>
      <c r="B9" s="167"/>
      <c r="C9" s="167"/>
      <c r="D9" s="167"/>
      <c r="E9" s="167"/>
    </row>
    <row r="10" spans="1:7" ht="14.25" x14ac:dyDescent="0.2">
      <c r="A10" s="167" t="s">
        <v>30</v>
      </c>
      <c r="B10" s="167"/>
      <c r="C10" s="167"/>
      <c r="D10" s="167"/>
      <c r="E10" s="167"/>
    </row>
    <row r="11" spans="1:7" x14ac:dyDescent="0.2">
      <c r="A11" s="168" t="s">
        <v>25</v>
      </c>
      <c r="B11" s="168"/>
      <c r="C11" s="168"/>
      <c r="D11" s="168"/>
      <c r="E11" s="168"/>
    </row>
    <row r="12" spans="1:7" ht="15.75" x14ac:dyDescent="0.25">
      <c r="A12" s="165" t="s">
        <v>119</v>
      </c>
      <c r="B12" s="165"/>
      <c r="C12" s="165"/>
      <c r="D12" s="165"/>
      <c r="E12" s="165"/>
    </row>
    <row r="13" spans="1:7" ht="14.25" x14ac:dyDescent="0.2">
      <c r="A13" s="166" t="s">
        <v>73</v>
      </c>
      <c r="B13" s="166"/>
      <c r="C13" s="166"/>
      <c r="D13" s="166"/>
      <c r="E13" s="166"/>
      <c r="G13" s="66"/>
    </row>
    <row r="14" spans="1:7" ht="15.75" x14ac:dyDescent="0.25">
      <c r="A14" s="50"/>
      <c r="E14" s="45"/>
    </row>
    <row r="15" spans="1:7" x14ac:dyDescent="0.2">
      <c r="A15" s="51" t="s">
        <v>57</v>
      </c>
      <c r="E15" s="45"/>
    </row>
    <row r="16" spans="1:7" ht="12.75" customHeight="1" x14ac:dyDescent="0.2">
      <c r="A16" s="172" t="s">
        <v>3</v>
      </c>
      <c r="B16" s="170" t="s">
        <v>17</v>
      </c>
      <c r="C16" s="170" t="s">
        <v>16</v>
      </c>
      <c r="D16" s="173" t="s">
        <v>4</v>
      </c>
      <c r="E16" s="174" t="s">
        <v>5</v>
      </c>
    </row>
    <row r="17" spans="1:11" x14ac:dyDescent="0.2">
      <c r="A17" s="172"/>
      <c r="B17" s="171"/>
      <c r="C17" s="171"/>
      <c r="D17" s="173"/>
      <c r="E17" s="174"/>
    </row>
    <row r="18" spans="1:11" s="54" customFormat="1" ht="11.25" x14ac:dyDescent="0.2">
      <c r="A18" s="52">
        <v>1</v>
      </c>
      <c r="B18" s="52">
        <v>2</v>
      </c>
      <c r="C18" s="52">
        <v>3</v>
      </c>
      <c r="D18" s="83">
        <v>4</v>
      </c>
      <c r="E18" s="53">
        <v>5</v>
      </c>
    </row>
    <row r="19" spans="1:11" ht="15.75" customHeight="1" x14ac:dyDescent="0.25">
      <c r="A19" s="63" t="s">
        <v>79</v>
      </c>
      <c r="B19" s="40"/>
      <c r="C19" s="40"/>
      <c r="D19" s="85">
        <v>100</v>
      </c>
      <c r="E19" s="136">
        <v>350000</v>
      </c>
      <c r="F19" s="55"/>
      <c r="G19" s="107" t="str">
        <f>IF(OR(D24&gt;0.6,D28&lt;&gt;(D24*0.302),D23&lt;&gt;1,D33&lt;0.07),"ВНИМАНИЕ"," ")</f>
        <v xml:space="preserve"> </v>
      </c>
      <c r="H19" s="55"/>
      <c r="I19" s="55"/>
      <c r="J19" s="55"/>
      <c r="K19" s="55"/>
    </row>
    <row r="20" spans="1:11" ht="22.5" customHeight="1" x14ac:dyDescent="0.2">
      <c r="A20" s="40" t="s">
        <v>80</v>
      </c>
      <c r="B20" s="40"/>
      <c r="C20" s="40"/>
      <c r="D20" s="86">
        <v>20</v>
      </c>
      <c r="E20" s="137">
        <f>ROUND($E$19*D20/100,2)</f>
        <v>70000</v>
      </c>
      <c r="F20" s="55"/>
      <c r="G20" s="55"/>
      <c r="H20" s="55"/>
      <c r="I20" s="55"/>
      <c r="J20" s="55"/>
      <c r="K20" s="55"/>
    </row>
    <row r="21" spans="1:11" ht="15.75" customHeight="1" x14ac:dyDescent="0.2">
      <c r="A21" s="40" t="s">
        <v>81</v>
      </c>
      <c r="B21" s="63"/>
      <c r="C21" s="63"/>
      <c r="D21" s="86">
        <f>D19-D20</f>
        <v>80</v>
      </c>
      <c r="E21" s="137">
        <f>E19-E20</f>
        <v>280000</v>
      </c>
      <c r="F21" s="55"/>
      <c r="G21" s="55"/>
      <c r="H21" s="55"/>
      <c r="I21" s="55"/>
      <c r="J21" s="55"/>
      <c r="K21" s="55"/>
    </row>
    <row r="22" spans="1:11" ht="15.95" customHeight="1" x14ac:dyDescent="0.2">
      <c r="A22" s="40" t="s">
        <v>82</v>
      </c>
      <c r="B22" s="41"/>
      <c r="C22" s="41"/>
      <c r="D22" s="85" t="s">
        <v>94</v>
      </c>
      <c r="E22" s="137">
        <f>E21</f>
        <v>280000</v>
      </c>
      <c r="F22" s="55"/>
      <c r="G22" s="55"/>
      <c r="H22" s="55"/>
      <c r="I22" s="55"/>
      <c r="J22" s="55"/>
      <c r="K22" s="55"/>
    </row>
    <row r="23" spans="1:11" x14ac:dyDescent="0.2">
      <c r="A23" s="56" t="s">
        <v>33</v>
      </c>
      <c r="B23" s="40"/>
      <c r="C23" s="40"/>
      <c r="D23" s="135">
        <f>SUM(D24:D36)+D37</f>
        <v>1</v>
      </c>
      <c r="E23" s="136">
        <f>SUM(E24:E36)+E37</f>
        <v>280000</v>
      </c>
      <c r="F23" s="55"/>
      <c r="G23" s="88" t="str">
        <f>IF(D23=1," ","СУММА ПРОЦЕНТОВ НЕ РАВНА 100")</f>
        <v xml:space="preserve"> </v>
      </c>
      <c r="H23" s="55"/>
      <c r="I23" s="55"/>
      <c r="J23" s="55"/>
      <c r="K23" s="55"/>
    </row>
    <row r="24" spans="1:11" x14ac:dyDescent="0.2">
      <c r="A24" s="56" t="s">
        <v>83</v>
      </c>
      <c r="B24" s="41">
        <v>111</v>
      </c>
      <c r="C24" s="41">
        <v>211</v>
      </c>
      <c r="D24" s="185">
        <v>0.6</v>
      </c>
      <c r="E24" s="138">
        <f>$E$22*D24</f>
        <v>168000</v>
      </c>
      <c r="F24" s="55"/>
      <c r="G24" s="88" t="str">
        <f>IF(D24&gt;0.6,"Необходимо согласование проректора"," ")</f>
        <v xml:space="preserve"> </v>
      </c>
      <c r="H24" s="55"/>
      <c r="I24" s="55"/>
      <c r="J24" s="55"/>
      <c r="K24" s="55"/>
    </row>
    <row r="25" spans="1:11" x14ac:dyDescent="0.2">
      <c r="A25" s="17" t="s">
        <v>95</v>
      </c>
      <c r="B25" s="41">
        <v>112</v>
      </c>
      <c r="C25" s="41">
        <v>212</v>
      </c>
      <c r="D25" s="186">
        <v>3.5999999999999999E-3</v>
      </c>
      <c r="E25" s="139">
        <f t="shared" ref="E25:E37" si="0">$E$22*D25</f>
        <v>1008</v>
      </c>
      <c r="F25" s="55"/>
      <c r="G25" s="88"/>
      <c r="H25" s="55"/>
      <c r="I25" s="55"/>
      <c r="J25" s="55"/>
      <c r="K25" s="55"/>
    </row>
    <row r="26" spans="1:11" ht="33.75" x14ac:dyDescent="0.2">
      <c r="A26" s="42" t="s">
        <v>96</v>
      </c>
      <c r="B26" s="41">
        <v>112</v>
      </c>
      <c r="C26" s="41">
        <v>226</v>
      </c>
      <c r="D26" s="186">
        <v>8.3000000000000001E-3</v>
      </c>
      <c r="E26" s="139">
        <f t="shared" si="0"/>
        <v>2324</v>
      </c>
      <c r="F26" s="55"/>
      <c r="G26" s="88"/>
      <c r="H26" s="55"/>
      <c r="I26" s="55"/>
      <c r="J26" s="55"/>
      <c r="K26" s="55"/>
    </row>
    <row r="27" spans="1:11" ht="33.75" x14ac:dyDescent="0.2">
      <c r="A27" s="42" t="s">
        <v>84</v>
      </c>
      <c r="B27" s="41">
        <v>113</v>
      </c>
      <c r="C27" s="41">
        <v>226</v>
      </c>
      <c r="D27" s="186">
        <v>1.1000000000000001E-3</v>
      </c>
      <c r="E27" s="139">
        <f t="shared" si="0"/>
        <v>308</v>
      </c>
      <c r="F27" s="55"/>
      <c r="G27" s="88"/>
      <c r="H27" s="55"/>
      <c r="I27" s="55"/>
      <c r="J27" s="55"/>
      <c r="K27" s="55"/>
    </row>
    <row r="28" spans="1:11" x14ac:dyDescent="0.2">
      <c r="A28" s="56" t="s">
        <v>85</v>
      </c>
      <c r="B28" s="41">
        <v>119</v>
      </c>
      <c r="C28" s="41">
        <v>213</v>
      </c>
      <c r="D28" s="185">
        <f>D24*0.302</f>
        <v>0.1812</v>
      </c>
      <c r="E28" s="138">
        <f t="shared" si="0"/>
        <v>50736</v>
      </c>
      <c r="F28" s="55"/>
      <c r="G28" s="88" t="str">
        <f>IF((D28=(D24*0.302))," ","СТРАХОВЫЕ ВЫПЛАТЫ НЕ РАВНЫ 30,2% ОТ 111/211")</f>
        <v xml:space="preserve"> </v>
      </c>
      <c r="H28" s="55"/>
      <c r="I28" s="55"/>
      <c r="J28" s="55"/>
      <c r="K28" s="55"/>
    </row>
    <row r="29" spans="1:11" x14ac:dyDescent="0.2">
      <c r="A29" s="40" t="s">
        <v>86</v>
      </c>
      <c r="B29" s="41">
        <v>244</v>
      </c>
      <c r="C29" s="41">
        <v>221</v>
      </c>
      <c r="D29" s="186">
        <v>5.0000000000000001E-3</v>
      </c>
      <c r="E29" s="139">
        <f t="shared" si="0"/>
        <v>1400</v>
      </c>
      <c r="F29" s="55"/>
      <c r="G29" s="55"/>
      <c r="H29" s="55"/>
      <c r="I29" s="55"/>
      <c r="J29" s="55"/>
      <c r="K29" s="55"/>
    </row>
    <row r="30" spans="1:11" x14ac:dyDescent="0.2">
      <c r="A30" s="40" t="s">
        <v>87</v>
      </c>
      <c r="B30" s="41">
        <v>244</v>
      </c>
      <c r="C30" s="41">
        <v>222</v>
      </c>
      <c r="D30" s="186">
        <v>0.01</v>
      </c>
      <c r="E30" s="139">
        <f t="shared" si="0"/>
        <v>2800</v>
      </c>
      <c r="F30" s="55"/>
      <c r="G30" s="55"/>
      <c r="H30" s="55"/>
      <c r="I30" s="55"/>
      <c r="J30" s="55"/>
      <c r="K30" s="55"/>
    </row>
    <row r="31" spans="1:11" x14ac:dyDescent="0.2">
      <c r="A31" s="40" t="s">
        <v>88</v>
      </c>
      <c r="B31" s="41">
        <v>244</v>
      </c>
      <c r="C31" s="41">
        <v>223</v>
      </c>
      <c r="D31" s="186">
        <v>0</v>
      </c>
      <c r="E31" s="139">
        <f t="shared" si="0"/>
        <v>0</v>
      </c>
      <c r="F31" s="55"/>
      <c r="G31" s="55"/>
      <c r="H31" s="55"/>
      <c r="I31" s="55"/>
      <c r="J31" s="55"/>
      <c r="K31" s="55"/>
    </row>
    <row r="32" spans="1:11" x14ac:dyDescent="0.2">
      <c r="A32" s="40" t="s">
        <v>89</v>
      </c>
      <c r="B32" s="41">
        <v>244</v>
      </c>
      <c r="C32" s="41">
        <v>224</v>
      </c>
      <c r="D32" s="186">
        <v>2E-3</v>
      </c>
      <c r="E32" s="139">
        <f t="shared" si="0"/>
        <v>560</v>
      </c>
      <c r="F32" s="55"/>
      <c r="G32" s="55"/>
      <c r="H32" s="55"/>
      <c r="I32" s="55"/>
      <c r="J32" s="55"/>
      <c r="K32" s="55"/>
    </row>
    <row r="33" spans="1:11" x14ac:dyDescent="0.2">
      <c r="A33" s="56" t="s">
        <v>90</v>
      </c>
      <c r="B33" s="41">
        <v>244</v>
      </c>
      <c r="C33" s="41">
        <v>225</v>
      </c>
      <c r="D33" s="185">
        <v>7.0000000000000007E-2</v>
      </c>
      <c r="E33" s="138">
        <f t="shared" si="0"/>
        <v>19600.000000000004</v>
      </c>
      <c r="F33" s="55"/>
      <c r="G33" s="88" t="str">
        <f>IF(D33&gt;=0.07," ","Процент не соответствует регламенту, требуется согласование Проректора по экономике и финансам")</f>
        <v xml:space="preserve"> </v>
      </c>
      <c r="H33" s="55"/>
      <c r="I33" s="55"/>
      <c r="J33" s="55"/>
      <c r="K33" s="55"/>
    </row>
    <row r="34" spans="1:11" x14ac:dyDescent="0.2">
      <c r="A34" s="40" t="s">
        <v>91</v>
      </c>
      <c r="B34" s="41">
        <v>244</v>
      </c>
      <c r="C34" s="41">
        <v>226</v>
      </c>
      <c r="D34" s="186">
        <v>5.6800000000000003E-2</v>
      </c>
      <c r="E34" s="139">
        <f t="shared" si="0"/>
        <v>15904.000000000002</v>
      </c>
      <c r="F34" s="55"/>
      <c r="G34" s="55"/>
      <c r="H34" s="55"/>
      <c r="I34" s="55"/>
      <c r="J34" s="55"/>
      <c r="K34" s="55"/>
    </row>
    <row r="35" spans="1:11" x14ac:dyDescent="0.2">
      <c r="A35" s="40" t="s">
        <v>92</v>
      </c>
      <c r="B35" s="41">
        <v>244</v>
      </c>
      <c r="C35" s="41">
        <v>310</v>
      </c>
      <c r="D35" s="186">
        <v>0.03</v>
      </c>
      <c r="E35" s="139">
        <f t="shared" si="0"/>
        <v>8400</v>
      </c>
      <c r="F35" s="55"/>
      <c r="G35" s="55"/>
      <c r="H35" s="55"/>
      <c r="I35" s="55"/>
      <c r="J35" s="55"/>
      <c r="K35" s="55"/>
    </row>
    <row r="36" spans="1:11" x14ac:dyDescent="0.2">
      <c r="A36" s="40" t="s">
        <v>93</v>
      </c>
      <c r="B36" s="41">
        <v>244</v>
      </c>
      <c r="C36" s="41">
        <v>340</v>
      </c>
      <c r="D36" s="186">
        <v>3.2000000000000001E-2</v>
      </c>
      <c r="E36" s="139">
        <f t="shared" si="0"/>
        <v>8960</v>
      </c>
      <c r="F36" s="55"/>
      <c r="G36" s="55"/>
      <c r="H36" s="55"/>
      <c r="I36" s="55"/>
      <c r="J36" s="55"/>
      <c r="K36" s="55"/>
    </row>
    <row r="37" spans="1:11" x14ac:dyDescent="0.2">
      <c r="A37" s="40" t="s">
        <v>102</v>
      </c>
      <c r="B37" s="41">
        <v>340</v>
      </c>
      <c r="C37" s="41">
        <v>296</v>
      </c>
      <c r="D37" s="186">
        <v>0</v>
      </c>
      <c r="E37" s="139">
        <f t="shared" si="0"/>
        <v>0</v>
      </c>
      <c r="F37" s="55"/>
      <c r="G37" s="55"/>
      <c r="H37" s="55"/>
      <c r="I37" s="55"/>
      <c r="J37" s="55"/>
      <c r="K37" s="55"/>
    </row>
    <row r="38" spans="1:11" customFormat="1" x14ac:dyDescent="0.2">
      <c r="A38" s="77" t="s">
        <v>98</v>
      </c>
      <c r="B38" s="78"/>
      <c r="C38" s="78"/>
      <c r="D38" s="79">
        <f>D23-1</f>
        <v>0</v>
      </c>
      <c r="E38" s="80">
        <f>E22-E23</f>
        <v>0</v>
      </c>
      <c r="F38" s="23" t="s">
        <v>99</v>
      </c>
    </row>
    <row r="39" spans="1:11" ht="15.75" x14ac:dyDescent="0.25">
      <c r="A39" s="57" t="s">
        <v>15</v>
      </c>
      <c r="E39" s="61"/>
      <c r="F39" s="55"/>
      <c r="G39" s="55"/>
      <c r="H39" s="55"/>
      <c r="I39" s="55"/>
      <c r="J39" s="55"/>
      <c r="K39" s="55"/>
    </row>
    <row r="40" spans="1:11" ht="15" x14ac:dyDescent="0.25">
      <c r="A40" s="169"/>
      <c r="B40" s="169"/>
      <c r="C40" s="169"/>
      <c r="D40" s="169"/>
      <c r="E40" s="169"/>
      <c r="F40" s="72"/>
      <c r="G40" s="55"/>
      <c r="H40" s="55"/>
      <c r="I40" s="55"/>
      <c r="J40" s="55"/>
      <c r="K40" s="55"/>
    </row>
    <row r="41" spans="1:11" x14ac:dyDescent="0.2">
      <c r="A41" s="46" t="s">
        <v>72</v>
      </c>
      <c r="B41" s="57"/>
      <c r="C41" s="57"/>
      <c r="D41" s="57"/>
      <c r="E41" s="45"/>
    </row>
    <row r="42" spans="1:11" x14ac:dyDescent="0.2">
      <c r="A42" s="48" t="s">
        <v>39</v>
      </c>
      <c r="E42" s="45"/>
    </row>
  </sheetData>
  <mergeCells count="12">
    <mergeCell ref="A40:E40"/>
    <mergeCell ref="C16:C17"/>
    <mergeCell ref="A16:A17"/>
    <mergeCell ref="B16:B17"/>
    <mergeCell ref="D16:D17"/>
    <mergeCell ref="E16:E17"/>
    <mergeCell ref="A8:E8"/>
    <mergeCell ref="A12:E12"/>
    <mergeCell ref="A13:E13"/>
    <mergeCell ref="A9:E9"/>
    <mergeCell ref="A10:E10"/>
    <mergeCell ref="A11:E11"/>
  </mergeCells>
  <phoneticPr fontId="11" type="noConversion"/>
  <conditionalFormatting sqref="E38">
    <cfRule type="cellIs" dxfId="84" priority="4" stopIfTrue="1" operator="lessThan">
      <formula>-65.96</formula>
    </cfRule>
    <cfRule type="cellIs" dxfId="83" priority="5" stopIfTrue="1" operator="lessThan">
      <formula>0</formula>
    </cfRule>
  </conditionalFormatting>
  <conditionalFormatting sqref="D38">
    <cfRule type="cellIs" dxfId="82" priority="19" stopIfTrue="1" operator="equal">
      <formula>0</formula>
    </cfRule>
    <cfRule type="cellIs" dxfId="81" priority="20" stopIfTrue="1" operator="greaterThan">
      <formula>0</formula>
    </cfRule>
  </conditionalFormatting>
  <conditionalFormatting sqref="D38">
    <cfRule type="cellIs" dxfId="80" priority="8" stopIfTrue="1" operator="equal">
      <formula>0</formula>
    </cfRule>
    <cfRule type="cellIs" dxfId="79" priority="9" stopIfTrue="1" operator="lessThan">
      <formula>0</formula>
    </cfRule>
    <cfRule type="cellIs" dxfId="78" priority="10" stopIfTrue="1" operator="greaterThan">
      <formula>0</formula>
    </cfRule>
    <cfRule type="cellIs" priority="11" stopIfTrue="1" operator="notEqual">
      <formula>0</formula>
    </cfRule>
    <cfRule type="cellIs" priority="12" stopIfTrue="1" operator="notEqual">
      <formula>0</formula>
    </cfRule>
    <cfRule type="cellIs" dxfId="77" priority="13" stopIfTrue="1" operator="equal">
      <formula>0</formula>
    </cfRule>
    <cfRule type="cellIs" dxfId="76" priority="15" stopIfTrue="1" operator="greaterThan">
      <formula>0.0001</formula>
    </cfRule>
    <cfRule type="cellIs" dxfId="75" priority="16" stopIfTrue="1" operator="greaterThan">
      <formula>0</formula>
    </cfRule>
    <cfRule type="cellIs" dxfId="74" priority="18" stopIfTrue="1" operator="lessThan">
      <formula>0</formula>
    </cfRule>
  </conditionalFormatting>
  <conditionalFormatting sqref="E38">
    <cfRule type="cellIs" dxfId="73" priority="6" stopIfTrue="1" operator="equal">
      <formula>0</formula>
    </cfRule>
    <cfRule type="cellIs" dxfId="72" priority="7" stopIfTrue="1" operator="greaterThan">
      <formula>0</formula>
    </cfRule>
  </conditionalFormatting>
  <conditionalFormatting sqref="D33">
    <cfRule type="cellIs" dxfId="71" priority="3" stopIfTrue="1" operator="lessThan">
      <formula>0.07</formula>
    </cfRule>
  </conditionalFormatting>
  <conditionalFormatting sqref="D28">
    <cfRule type="cellIs" dxfId="70" priority="2" stopIfTrue="1" operator="notEqual">
      <formula>$D$24*0.302</formula>
    </cfRule>
  </conditionalFormatting>
  <conditionalFormatting sqref="D23">
    <cfRule type="cellIs" dxfId="69" priority="1" stopIfTrue="1" operator="notEqual">
      <formula>1</formula>
    </cfRule>
  </conditionalFormatting>
  <pageMargins left="0.75" right="0.75" top="1" bottom="1" header="0.5" footer="0.5"/>
  <pageSetup paperSize="9" scale="84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42"/>
  <sheetViews>
    <sheetView topLeftCell="A11" zoomScale="90" zoomScaleNormal="90" workbookViewId="0">
      <selection activeCell="H43" sqref="H43"/>
    </sheetView>
  </sheetViews>
  <sheetFormatPr defaultColWidth="8.85546875" defaultRowHeight="12.75" x14ac:dyDescent="0.2"/>
  <cols>
    <col min="1" max="1" width="56.28515625" style="43" customWidth="1"/>
    <col min="2" max="2" width="8.85546875" style="43"/>
    <col min="3" max="3" width="9.7109375" style="43" customWidth="1"/>
    <col min="4" max="4" width="14" style="43" customWidth="1"/>
    <col min="5" max="5" width="12" style="43" customWidth="1"/>
    <col min="6" max="6" width="8.85546875" style="43"/>
    <col min="7" max="7" width="12.5703125" style="43" bestFit="1" customWidth="1"/>
    <col min="8" max="9" width="10.140625" style="43" bestFit="1" customWidth="1"/>
    <col min="10" max="16384" width="8.85546875" style="43"/>
  </cols>
  <sheetData>
    <row r="1" spans="1:7" ht="15.75" x14ac:dyDescent="0.25">
      <c r="B1" s="44" t="s">
        <v>0</v>
      </c>
      <c r="C1" s="44"/>
      <c r="E1" s="45"/>
    </row>
    <row r="2" spans="1:7" ht="15.75" x14ac:dyDescent="0.25">
      <c r="B2" s="46" t="s">
        <v>27</v>
      </c>
      <c r="C2" s="44"/>
      <c r="E2" s="45"/>
    </row>
    <row r="3" spans="1:7" ht="15.75" x14ac:dyDescent="0.25">
      <c r="B3" s="47" t="s">
        <v>29</v>
      </c>
      <c r="C3" s="44"/>
      <c r="E3" s="45"/>
    </row>
    <row r="4" spans="1:7" ht="15.75" x14ac:dyDescent="0.25">
      <c r="B4" s="44" t="s">
        <v>24</v>
      </c>
      <c r="C4" s="44"/>
      <c r="E4" s="45"/>
    </row>
    <row r="5" spans="1:7" ht="15.75" x14ac:dyDescent="0.25">
      <c r="B5" s="48" t="s">
        <v>28</v>
      </c>
      <c r="C5" s="44"/>
      <c r="E5" s="45"/>
    </row>
    <row r="6" spans="1:7" ht="15.75" x14ac:dyDescent="0.25">
      <c r="B6" s="44" t="s">
        <v>41</v>
      </c>
      <c r="C6" s="44"/>
      <c r="E6" s="45"/>
    </row>
    <row r="7" spans="1:7" ht="18.75" x14ac:dyDescent="0.3">
      <c r="A7" s="49" t="s">
        <v>1</v>
      </c>
      <c r="E7" s="45"/>
    </row>
    <row r="8" spans="1:7" ht="15.75" x14ac:dyDescent="0.25">
      <c r="A8" s="164" t="s">
        <v>2</v>
      </c>
      <c r="B8" s="164"/>
      <c r="C8" s="164"/>
      <c r="D8" s="164"/>
      <c r="E8" s="164"/>
    </row>
    <row r="9" spans="1:7" ht="14.25" x14ac:dyDescent="0.2">
      <c r="A9" s="167" t="s">
        <v>74</v>
      </c>
      <c r="B9" s="167"/>
      <c r="C9" s="167"/>
      <c r="D9" s="167"/>
      <c r="E9" s="167"/>
    </row>
    <row r="10" spans="1:7" ht="14.25" x14ac:dyDescent="0.2">
      <c r="A10" s="167" t="s">
        <v>124</v>
      </c>
      <c r="B10" s="167"/>
      <c r="C10" s="167"/>
      <c r="D10" s="167"/>
      <c r="E10" s="167"/>
    </row>
    <row r="11" spans="1:7" x14ac:dyDescent="0.2">
      <c r="A11" s="168" t="s">
        <v>25</v>
      </c>
      <c r="B11" s="168"/>
      <c r="C11" s="168"/>
      <c r="D11" s="168"/>
      <c r="E11" s="168"/>
    </row>
    <row r="12" spans="1:7" ht="15.75" x14ac:dyDescent="0.25">
      <c r="A12" s="177"/>
      <c r="B12" s="177"/>
      <c r="C12" s="177"/>
      <c r="D12" s="177"/>
      <c r="E12" s="177"/>
    </row>
    <row r="13" spans="1:7" ht="15" x14ac:dyDescent="0.2">
      <c r="A13" s="176" t="s">
        <v>125</v>
      </c>
      <c r="B13" s="176"/>
      <c r="C13" s="176"/>
      <c r="D13" s="176"/>
      <c r="E13" s="176"/>
      <c r="G13" s="66"/>
    </row>
    <row r="14" spans="1:7" ht="15.75" x14ac:dyDescent="0.25">
      <c r="A14" s="50"/>
      <c r="E14" s="45"/>
    </row>
    <row r="15" spans="1:7" x14ac:dyDescent="0.2">
      <c r="A15" s="51" t="s">
        <v>123</v>
      </c>
      <c r="E15" s="45"/>
    </row>
    <row r="16" spans="1:7" ht="12.75" customHeight="1" x14ac:dyDescent="0.2">
      <c r="A16" s="172" t="s">
        <v>3</v>
      </c>
      <c r="B16" s="170" t="s">
        <v>17</v>
      </c>
      <c r="C16" s="170" t="s">
        <v>16</v>
      </c>
      <c r="D16" s="173" t="s">
        <v>4</v>
      </c>
      <c r="E16" s="175" t="s">
        <v>5</v>
      </c>
    </row>
    <row r="17" spans="1:11" x14ac:dyDescent="0.2">
      <c r="A17" s="172"/>
      <c r="B17" s="171"/>
      <c r="C17" s="171"/>
      <c r="D17" s="173"/>
      <c r="E17" s="175"/>
    </row>
    <row r="18" spans="1:11" s="54" customFormat="1" ht="11.25" x14ac:dyDescent="0.2">
      <c r="A18" s="52">
        <v>1</v>
      </c>
      <c r="B18" s="52">
        <v>2</v>
      </c>
      <c r="C18" s="52">
        <v>3</v>
      </c>
      <c r="D18" s="83">
        <v>4</v>
      </c>
      <c r="E18" s="53">
        <v>5</v>
      </c>
    </row>
    <row r="19" spans="1:11" ht="15.75" customHeight="1" x14ac:dyDescent="0.25">
      <c r="A19" s="63" t="s">
        <v>79</v>
      </c>
      <c r="B19" s="40"/>
      <c r="C19" s="40"/>
      <c r="D19" s="85">
        <v>100</v>
      </c>
      <c r="E19" s="136">
        <v>350000</v>
      </c>
      <c r="F19" s="55"/>
      <c r="G19" s="107" t="str">
        <f>IF(OR(D24&gt;0.6,D28&lt;&gt;(D24*0.302),D23&lt;&gt;1,D33&lt;0.07),"ВНИМАНИЕ"," ")</f>
        <v xml:space="preserve"> </v>
      </c>
      <c r="H19" s="55"/>
      <c r="I19" s="55"/>
      <c r="J19" s="55"/>
      <c r="K19" s="55"/>
    </row>
    <row r="20" spans="1:11" ht="31.9" customHeight="1" x14ac:dyDescent="0.2">
      <c r="A20" s="40" t="s">
        <v>80</v>
      </c>
      <c r="B20" s="40"/>
      <c r="C20" s="40"/>
      <c r="D20" s="86">
        <v>20</v>
      </c>
      <c r="E20" s="137">
        <f>ROUND($E$19*D20/100,2)</f>
        <v>70000</v>
      </c>
      <c r="F20" s="55"/>
      <c r="G20" s="55"/>
      <c r="H20" s="55"/>
      <c r="I20" s="55"/>
      <c r="J20" s="55"/>
      <c r="K20" s="55"/>
    </row>
    <row r="21" spans="1:11" ht="15.75" customHeight="1" x14ac:dyDescent="0.2">
      <c r="A21" s="40" t="s">
        <v>81</v>
      </c>
      <c r="B21" s="63"/>
      <c r="C21" s="63"/>
      <c r="D21" s="86">
        <f>D19-D20</f>
        <v>80</v>
      </c>
      <c r="E21" s="137">
        <f>E19-E20</f>
        <v>280000</v>
      </c>
      <c r="F21" s="55"/>
      <c r="G21" s="55"/>
      <c r="H21" s="55"/>
      <c r="I21" s="55"/>
      <c r="J21" s="55"/>
      <c r="K21" s="55"/>
    </row>
    <row r="22" spans="1:11" ht="15.95" customHeight="1" x14ac:dyDescent="0.2">
      <c r="A22" s="40" t="s">
        <v>82</v>
      </c>
      <c r="B22" s="41"/>
      <c r="C22" s="41"/>
      <c r="D22" s="85" t="s">
        <v>94</v>
      </c>
      <c r="E22" s="137">
        <f>E21</f>
        <v>280000</v>
      </c>
      <c r="F22" s="55"/>
      <c r="G22" s="55"/>
      <c r="H22" s="55"/>
      <c r="I22" s="55"/>
      <c r="J22" s="55"/>
      <c r="K22" s="55"/>
    </row>
    <row r="23" spans="1:11" x14ac:dyDescent="0.2">
      <c r="A23" s="56" t="s">
        <v>33</v>
      </c>
      <c r="B23" s="40"/>
      <c r="C23" s="40"/>
      <c r="D23" s="135">
        <f>SUM(D24:D36)+D37</f>
        <v>1</v>
      </c>
      <c r="E23" s="136">
        <f>SUM(E24:E36)+E37</f>
        <v>280000</v>
      </c>
      <c r="F23" s="55"/>
      <c r="G23" s="88" t="str">
        <f>IF(D23=1," ","СУММА ПРОЦЕНТОВ НЕ РАВНА 100")</f>
        <v xml:space="preserve"> </v>
      </c>
      <c r="H23" s="55"/>
      <c r="I23" s="55"/>
      <c r="J23" s="55"/>
      <c r="K23" s="55"/>
    </row>
    <row r="24" spans="1:11" x14ac:dyDescent="0.2">
      <c r="A24" s="56" t="s">
        <v>83</v>
      </c>
      <c r="B24" s="41">
        <v>111</v>
      </c>
      <c r="C24" s="41">
        <v>211</v>
      </c>
      <c r="D24" s="185">
        <v>0.6</v>
      </c>
      <c r="E24" s="138">
        <f>$E$22*D24</f>
        <v>168000</v>
      </c>
      <c r="F24" s="55"/>
      <c r="G24" s="88" t="str">
        <f>IF(D24&gt;0.6,"Необходимо согласование проректора"," ")</f>
        <v xml:space="preserve"> </v>
      </c>
      <c r="H24" s="55"/>
      <c r="I24" s="55"/>
      <c r="J24" s="55"/>
      <c r="K24" s="55"/>
    </row>
    <row r="25" spans="1:11" x14ac:dyDescent="0.2">
      <c r="A25" s="17" t="s">
        <v>95</v>
      </c>
      <c r="B25" s="41">
        <v>112</v>
      </c>
      <c r="C25" s="41">
        <v>212</v>
      </c>
      <c r="D25" s="186">
        <v>3.5999999999999999E-3</v>
      </c>
      <c r="E25" s="139">
        <f t="shared" ref="E25:E37" si="0">$E$22*D25</f>
        <v>1008</v>
      </c>
      <c r="F25" s="55"/>
      <c r="G25" s="88"/>
      <c r="H25" s="55"/>
      <c r="I25" s="55"/>
      <c r="J25" s="55"/>
      <c r="K25" s="55"/>
    </row>
    <row r="26" spans="1:11" ht="33.75" x14ac:dyDescent="0.2">
      <c r="A26" s="42" t="s">
        <v>96</v>
      </c>
      <c r="B26" s="41">
        <v>112</v>
      </c>
      <c r="C26" s="41">
        <v>226</v>
      </c>
      <c r="D26" s="186">
        <v>8.3000000000000001E-3</v>
      </c>
      <c r="E26" s="139">
        <f t="shared" si="0"/>
        <v>2324</v>
      </c>
      <c r="F26" s="55"/>
      <c r="G26" s="88"/>
      <c r="H26" s="55"/>
      <c r="I26" s="55"/>
      <c r="J26" s="55"/>
      <c r="K26" s="55"/>
    </row>
    <row r="27" spans="1:11" ht="33.75" x14ac:dyDescent="0.2">
      <c r="A27" s="42" t="s">
        <v>84</v>
      </c>
      <c r="B27" s="41">
        <v>113</v>
      </c>
      <c r="C27" s="41">
        <v>226</v>
      </c>
      <c r="D27" s="186">
        <v>1.1000000000000001E-3</v>
      </c>
      <c r="E27" s="139">
        <f t="shared" si="0"/>
        <v>308</v>
      </c>
      <c r="F27" s="55"/>
      <c r="G27" s="88"/>
      <c r="H27" s="55"/>
      <c r="I27" s="55"/>
      <c r="J27" s="55"/>
      <c r="K27" s="55"/>
    </row>
    <row r="28" spans="1:11" x14ac:dyDescent="0.2">
      <c r="A28" s="56" t="s">
        <v>85</v>
      </c>
      <c r="B28" s="41">
        <v>119</v>
      </c>
      <c r="C28" s="41">
        <v>213</v>
      </c>
      <c r="D28" s="185">
        <f>D24*0.302</f>
        <v>0.1812</v>
      </c>
      <c r="E28" s="138">
        <f t="shared" si="0"/>
        <v>50736</v>
      </c>
      <c r="F28" s="55"/>
      <c r="G28" s="88" t="str">
        <f>IF((D28=(D24*0.302))," ","СТРАХОВЫЕ ВЫПЛАТЫ НЕ РАВНЫ 30,2% ОТ 111/211")</f>
        <v xml:space="preserve"> </v>
      </c>
      <c r="H28" s="55"/>
      <c r="I28" s="55"/>
      <c r="J28" s="55"/>
      <c r="K28" s="55"/>
    </row>
    <row r="29" spans="1:11" x14ac:dyDescent="0.2">
      <c r="A29" s="40" t="s">
        <v>86</v>
      </c>
      <c r="B29" s="41">
        <v>244</v>
      </c>
      <c r="C29" s="41">
        <v>221</v>
      </c>
      <c r="D29" s="186">
        <v>5.0000000000000001E-3</v>
      </c>
      <c r="E29" s="139">
        <f t="shared" si="0"/>
        <v>1400</v>
      </c>
      <c r="F29" s="55"/>
      <c r="G29" s="55"/>
      <c r="H29" s="55"/>
      <c r="I29" s="55"/>
      <c r="J29" s="55"/>
      <c r="K29" s="55"/>
    </row>
    <row r="30" spans="1:11" x14ac:dyDescent="0.2">
      <c r="A30" s="40" t="s">
        <v>87</v>
      </c>
      <c r="B30" s="41">
        <v>244</v>
      </c>
      <c r="C30" s="41">
        <v>222</v>
      </c>
      <c r="D30" s="186">
        <v>0.01</v>
      </c>
      <c r="E30" s="139">
        <f t="shared" si="0"/>
        <v>2800</v>
      </c>
      <c r="F30" s="55"/>
      <c r="G30" s="55"/>
      <c r="H30" s="55"/>
      <c r="I30" s="55"/>
      <c r="J30" s="55"/>
      <c r="K30" s="55"/>
    </row>
    <row r="31" spans="1:11" x14ac:dyDescent="0.2">
      <c r="A31" s="40" t="s">
        <v>88</v>
      </c>
      <c r="B31" s="41">
        <v>244</v>
      </c>
      <c r="C31" s="41">
        <v>223</v>
      </c>
      <c r="D31" s="186">
        <v>0</v>
      </c>
      <c r="E31" s="139">
        <f t="shared" si="0"/>
        <v>0</v>
      </c>
      <c r="F31" s="55"/>
      <c r="G31" s="55"/>
      <c r="H31" s="55"/>
      <c r="I31" s="55"/>
      <c r="J31" s="55"/>
      <c r="K31" s="55"/>
    </row>
    <row r="32" spans="1:11" x14ac:dyDescent="0.2">
      <c r="A32" s="40" t="s">
        <v>89</v>
      </c>
      <c r="B32" s="41">
        <v>244</v>
      </c>
      <c r="C32" s="41">
        <v>224</v>
      </c>
      <c r="D32" s="186">
        <v>2E-3</v>
      </c>
      <c r="E32" s="139">
        <f t="shared" si="0"/>
        <v>560</v>
      </c>
      <c r="F32" s="55"/>
      <c r="G32" s="55"/>
      <c r="H32" s="55"/>
      <c r="I32" s="55"/>
      <c r="J32" s="55"/>
      <c r="K32" s="55"/>
    </row>
    <row r="33" spans="1:11" x14ac:dyDescent="0.2">
      <c r="A33" s="56" t="s">
        <v>90</v>
      </c>
      <c r="B33" s="41">
        <v>244</v>
      </c>
      <c r="C33" s="41">
        <v>225</v>
      </c>
      <c r="D33" s="185">
        <v>7.0000000000000007E-2</v>
      </c>
      <c r="E33" s="138">
        <f t="shared" si="0"/>
        <v>19600.000000000004</v>
      </c>
      <c r="F33" s="55"/>
      <c r="G33" s="88" t="str">
        <f>IF(D33&gt;=0.07," ","Процент не соответствует регламенту, требуется согласование Проректора по экономике и финансам")</f>
        <v xml:space="preserve"> </v>
      </c>
      <c r="H33" s="55"/>
      <c r="I33" s="55"/>
      <c r="J33" s="55"/>
      <c r="K33" s="55"/>
    </row>
    <row r="34" spans="1:11" x14ac:dyDescent="0.2">
      <c r="A34" s="40" t="s">
        <v>91</v>
      </c>
      <c r="B34" s="41">
        <v>244</v>
      </c>
      <c r="C34" s="41">
        <v>226</v>
      </c>
      <c r="D34" s="186">
        <v>5.6800000000000003E-2</v>
      </c>
      <c r="E34" s="139">
        <f t="shared" si="0"/>
        <v>15904.000000000002</v>
      </c>
      <c r="F34" s="55"/>
      <c r="G34" s="55"/>
      <c r="H34" s="55"/>
      <c r="I34" s="55"/>
      <c r="J34" s="55"/>
      <c r="K34" s="55"/>
    </row>
    <row r="35" spans="1:11" x14ac:dyDescent="0.2">
      <c r="A35" s="40" t="s">
        <v>92</v>
      </c>
      <c r="B35" s="41">
        <v>244</v>
      </c>
      <c r="C35" s="41">
        <v>310</v>
      </c>
      <c r="D35" s="186">
        <v>0.03</v>
      </c>
      <c r="E35" s="139">
        <f t="shared" si="0"/>
        <v>8400</v>
      </c>
      <c r="F35" s="55"/>
      <c r="G35" s="55"/>
      <c r="H35" s="55"/>
      <c r="I35" s="55"/>
      <c r="J35" s="55"/>
      <c r="K35" s="55"/>
    </row>
    <row r="36" spans="1:11" x14ac:dyDescent="0.2">
      <c r="A36" s="40" t="s">
        <v>93</v>
      </c>
      <c r="B36" s="41">
        <v>244</v>
      </c>
      <c r="C36" s="41">
        <v>340</v>
      </c>
      <c r="D36" s="186">
        <v>3.2000000000000001E-2</v>
      </c>
      <c r="E36" s="139">
        <f t="shared" si="0"/>
        <v>8960</v>
      </c>
      <c r="F36" s="55"/>
      <c r="G36" s="55"/>
      <c r="H36" s="55"/>
      <c r="I36" s="55"/>
      <c r="J36" s="55"/>
      <c r="K36" s="55"/>
    </row>
    <row r="37" spans="1:11" x14ac:dyDescent="0.2">
      <c r="A37" s="40" t="s">
        <v>102</v>
      </c>
      <c r="B37" s="41">
        <v>340</v>
      </c>
      <c r="C37" s="41">
        <v>296</v>
      </c>
      <c r="D37" s="186">
        <v>0</v>
      </c>
      <c r="E37" s="139">
        <f t="shared" si="0"/>
        <v>0</v>
      </c>
      <c r="F37" s="55"/>
      <c r="G37" s="55"/>
      <c r="H37" s="55"/>
      <c r="I37" s="55"/>
      <c r="J37" s="55"/>
      <c r="K37" s="55"/>
    </row>
    <row r="38" spans="1:11" customFormat="1" x14ac:dyDescent="0.2">
      <c r="A38" s="77" t="s">
        <v>98</v>
      </c>
      <c r="B38" s="78"/>
      <c r="C38" s="78"/>
      <c r="D38" s="79">
        <f>D23-1</f>
        <v>0</v>
      </c>
      <c r="E38" s="80">
        <f>E22-E23</f>
        <v>0</v>
      </c>
      <c r="F38" s="23" t="s">
        <v>99</v>
      </c>
    </row>
    <row r="39" spans="1:11" ht="15.75" x14ac:dyDescent="0.25">
      <c r="A39" s="57" t="s">
        <v>15</v>
      </c>
      <c r="E39" s="61"/>
      <c r="F39" s="55"/>
      <c r="G39" s="55"/>
      <c r="H39" s="55"/>
      <c r="I39" s="55"/>
      <c r="J39" s="55"/>
      <c r="K39" s="55"/>
    </row>
    <row r="40" spans="1:11" ht="15" x14ac:dyDescent="0.25">
      <c r="A40" s="169"/>
      <c r="B40" s="169"/>
      <c r="C40" s="169"/>
      <c r="D40" s="169"/>
      <c r="E40" s="169"/>
      <c r="F40" s="72"/>
      <c r="G40" s="55"/>
      <c r="H40" s="55"/>
      <c r="I40" s="55"/>
      <c r="J40" s="55"/>
      <c r="K40" s="55"/>
    </row>
    <row r="41" spans="1:11" x14ac:dyDescent="0.2">
      <c r="A41" s="46" t="s">
        <v>72</v>
      </c>
      <c r="B41" s="57"/>
      <c r="C41" s="57"/>
      <c r="D41" s="57"/>
      <c r="E41" s="45"/>
    </row>
    <row r="42" spans="1:11" x14ac:dyDescent="0.2">
      <c r="A42" s="48" t="s">
        <v>39</v>
      </c>
      <c r="E42" s="45"/>
    </row>
  </sheetData>
  <mergeCells count="12">
    <mergeCell ref="D16:D17"/>
    <mergeCell ref="E16:E17"/>
    <mergeCell ref="A40:E40"/>
    <mergeCell ref="A8:E8"/>
    <mergeCell ref="A9:E9"/>
    <mergeCell ref="A10:E10"/>
    <mergeCell ref="A11:E11"/>
    <mergeCell ref="A13:E13"/>
    <mergeCell ref="A12:E12"/>
    <mergeCell ref="A16:A17"/>
    <mergeCell ref="B16:B17"/>
    <mergeCell ref="C16:C17"/>
  </mergeCells>
  <conditionalFormatting sqref="E38">
    <cfRule type="cellIs" dxfId="68" priority="4" stopIfTrue="1" operator="lessThan">
      <formula>-65.96</formula>
    </cfRule>
    <cfRule type="cellIs" dxfId="67" priority="5" stopIfTrue="1" operator="lessThan">
      <formula>0</formula>
    </cfRule>
  </conditionalFormatting>
  <conditionalFormatting sqref="D38">
    <cfRule type="cellIs" dxfId="66" priority="17" stopIfTrue="1" operator="equal">
      <formula>0</formula>
    </cfRule>
    <cfRule type="cellIs" dxfId="65" priority="18" stopIfTrue="1" operator="greaterThan">
      <formula>0</formula>
    </cfRule>
  </conditionalFormatting>
  <conditionalFormatting sqref="D38">
    <cfRule type="cellIs" dxfId="64" priority="8" stopIfTrue="1" operator="equal">
      <formula>0</formula>
    </cfRule>
    <cfRule type="cellIs" dxfId="63" priority="9" stopIfTrue="1" operator="lessThan">
      <formula>0</formula>
    </cfRule>
    <cfRule type="cellIs" dxfId="62" priority="10" stopIfTrue="1" operator="greaterThan">
      <formula>0</formula>
    </cfRule>
    <cfRule type="cellIs" priority="11" stopIfTrue="1" operator="notEqual">
      <formula>0</formula>
    </cfRule>
    <cfRule type="cellIs" priority="12" stopIfTrue="1" operator="notEqual">
      <formula>0</formula>
    </cfRule>
    <cfRule type="cellIs" dxfId="61" priority="13" stopIfTrue="1" operator="equal">
      <formula>0</formula>
    </cfRule>
    <cfRule type="cellIs" dxfId="60" priority="14" stopIfTrue="1" operator="greaterThan">
      <formula>0.0001</formula>
    </cfRule>
    <cfRule type="cellIs" dxfId="59" priority="15" stopIfTrue="1" operator="greaterThan">
      <formula>0</formula>
    </cfRule>
    <cfRule type="cellIs" dxfId="58" priority="16" stopIfTrue="1" operator="lessThan">
      <formula>0</formula>
    </cfRule>
  </conditionalFormatting>
  <conditionalFormatting sqref="E38">
    <cfRule type="cellIs" dxfId="57" priority="6" stopIfTrue="1" operator="equal">
      <formula>0</formula>
    </cfRule>
    <cfRule type="cellIs" dxfId="56" priority="7" stopIfTrue="1" operator="greaterThan">
      <formula>0</formula>
    </cfRule>
  </conditionalFormatting>
  <conditionalFormatting sqref="D33">
    <cfRule type="cellIs" dxfId="55" priority="3" stopIfTrue="1" operator="lessThan">
      <formula>0.07</formula>
    </cfRule>
  </conditionalFormatting>
  <conditionalFormatting sqref="D28">
    <cfRule type="cellIs" dxfId="54" priority="2" stopIfTrue="1" operator="notEqual">
      <formula>$D$24*0.302</formula>
    </cfRule>
  </conditionalFormatting>
  <conditionalFormatting sqref="D23">
    <cfRule type="cellIs" dxfId="53" priority="1" stopIfTrue="1" operator="notEqual">
      <formula>1</formula>
    </cfRule>
  </conditionalFormatting>
  <pageMargins left="0.75" right="0.75" top="1" bottom="1" header="0.5" footer="0.5"/>
  <pageSetup paperSize="9" scale="84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K45"/>
  <sheetViews>
    <sheetView topLeftCell="A11" zoomScale="90" zoomScaleNormal="90" workbookViewId="0">
      <selection activeCell="J41" sqref="J41"/>
    </sheetView>
  </sheetViews>
  <sheetFormatPr defaultRowHeight="12.75" x14ac:dyDescent="0.2"/>
  <cols>
    <col min="1" max="1" width="56.28515625" customWidth="1"/>
    <col min="3" max="3" width="9.7109375" customWidth="1"/>
    <col min="4" max="4" width="15.7109375" bestFit="1" customWidth="1"/>
    <col min="5" max="5" width="12.85546875" bestFit="1" customWidth="1"/>
    <col min="7" max="7" width="14.140625" bestFit="1" customWidth="1"/>
    <col min="8" max="8" width="14.85546875" bestFit="1" customWidth="1"/>
    <col min="9" max="9" width="10.140625" bestFit="1" customWidth="1"/>
  </cols>
  <sheetData>
    <row r="1" spans="1:7" ht="15.75" x14ac:dyDescent="0.25">
      <c r="B1" s="1" t="s">
        <v>0</v>
      </c>
      <c r="C1" s="1"/>
      <c r="E1" s="2"/>
      <c r="G1" s="22"/>
    </row>
    <row r="2" spans="1:7" ht="15.75" x14ac:dyDescent="0.25">
      <c r="B2" s="12" t="s">
        <v>27</v>
      </c>
      <c r="C2" s="1"/>
      <c r="E2" s="2"/>
      <c r="G2" s="22"/>
    </row>
    <row r="3" spans="1:7" ht="15" customHeight="1" x14ac:dyDescent="0.25">
      <c r="B3" s="13" t="s">
        <v>29</v>
      </c>
      <c r="C3" s="1"/>
      <c r="E3" s="2"/>
      <c r="G3" s="22"/>
    </row>
    <row r="4" spans="1:7" ht="15.75" x14ac:dyDescent="0.25">
      <c r="B4" s="1" t="s">
        <v>24</v>
      </c>
      <c r="C4" s="1"/>
      <c r="E4" s="2"/>
      <c r="G4" s="22"/>
    </row>
    <row r="5" spans="1:7" ht="15.75" x14ac:dyDescent="0.25">
      <c r="B5" s="11" t="s">
        <v>28</v>
      </c>
      <c r="C5" s="1"/>
      <c r="E5" s="2"/>
      <c r="G5" s="22"/>
    </row>
    <row r="6" spans="1:7" ht="15.75" x14ac:dyDescent="0.25">
      <c r="B6" s="1" t="s">
        <v>40</v>
      </c>
      <c r="C6" s="1"/>
      <c r="E6" s="2"/>
      <c r="G6" s="22"/>
    </row>
    <row r="7" spans="1:7" ht="18.75" x14ac:dyDescent="0.3">
      <c r="A7" s="153" t="s">
        <v>1</v>
      </c>
      <c r="B7" s="153"/>
      <c r="C7" s="153"/>
      <c r="D7" s="153"/>
      <c r="E7" s="153"/>
      <c r="G7" s="22"/>
    </row>
    <row r="8" spans="1:7" s="43" customFormat="1" ht="15.75" x14ac:dyDescent="0.25">
      <c r="A8" s="164" t="s">
        <v>2</v>
      </c>
      <c r="B8" s="164"/>
      <c r="C8" s="164"/>
      <c r="D8" s="164"/>
      <c r="E8" s="164"/>
    </row>
    <row r="9" spans="1:7" s="43" customFormat="1" ht="14.25" x14ac:dyDescent="0.2">
      <c r="A9" s="167" t="s">
        <v>74</v>
      </c>
      <c r="B9" s="167"/>
      <c r="C9" s="167"/>
      <c r="D9" s="167"/>
      <c r="E9" s="167"/>
    </row>
    <row r="10" spans="1:7" s="43" customFormat="1" ht="14.25" x14ac:dyDescent="0.2">
      <c r="A10" s="167" t="s">
        <v>126</v>
      </c>
      <c r="B10" s="167"/>
      <c r="C10" s="167"/>
      <c r="D10" s="167"/>
      <c r="E10" s="167"/>
    </row>
    <row r="11" spans="1:7" s="43" customFormat="1" x14ac:dyDescent="0.2">
      <c r="A11" s="168" t="s">
        <v>25</v>
      </c>
      <c r="B11" s="168"/>
      <c r="C11" s="168"/>
      <c r="D11" s="168"/>
      <c r="E11" s="168"/>
    </row>
    <row r="12" spans="1:7" s="43" customFormat="1" ht="15.75" x14ac:dyDescent="0.25">
      <c r="A12" s="177"/>
      <c r="B12" s="177"/>
      <c r="C12" s="177"/>
      <c r="D12" s="177"/>
      <c r="E12" s="177"/>
    </row>
    <row r="13" spans="1:7" s="43" customFormat="1" ht="15" x14ac:dyDescent="0.2">
      <c r="A13" s="176" t="s">
        <v>125</v>
      </c>
      <c r="B13" s="176"/>
      <c r="C13" s="176"/>
      <c r="D13" s="176"/>
      <c r="E13" s="176"/>
      <c r="G13" s="66"/>
    </row>
    <row r="14" spans="1:7" ht="15.75" x14ac:dyDescent="0.25">
      <c r="A14" s="3"/>
      <c r="E14" s="2"/>
    </row>
    <row r="15" spans="1:7" x14ac:dyDescent="0.2">
      <c r="A15" s="66" t="s">
        <v>113</v>
      </c>
      <c r="E15" s="2"/>
    </row>
    <row r="16" spans="1:7" ht="12.75" customHeight="1" x14ac:dyDescent="0.2">
      <c r="A16" s="155" t="s">
        <v>3</v>
      </c>
      <c r="B16" s="157" t="s">
        <v>17</v>
      </c>
      <c r="C16" s="157" t="s">
        <v>16</v>
      </c>
      <c r="D16" s="159" t="s">
        <v>4</v>
      </c>
      <c r="E16" s="160" t="s">
        <v>5</v>
      </c>
    </row>
    <row r="17" spans="1:11" x14ac:dyDescent="0.2">
      <c r="A17" s="155"/>
      <c r="B17" s="158"/>
      <c r="C17" s="158"/>
      <c r="D17" s="159"/>
      <c r="E17" s="160"/>
    </row>
    <row r="18" spans="1:11" s="14" customFormat="1" ht="11.25" x14ac:dyDescent="0.2">
      <c r="A18" s="19">
        <v>1</v>
      </c>
      <c r="B18" s="19">
        <v>2</v>
      </c>
      <c r="C18" s="19">
        <v>3</v>
      </c>
      <c r="D18" s="19">
        <v>4</v>
      </c>
      <c r="E18" s="20">
        <v>5</v>
      </c>
    </row>
    <row r="19" spans="1:11" ht="15.75" customHeight="1" x14ac:dyDescent="0.25">
      <c r="A19" s="37" t="s">
        <v>79</v>
      </c>
      <c r="B19" s="16"/>
      <c r="C19" s="16"/>
      <c r="D19" s="24">
        <v>100</v>
      </c>
      <c r="E19" s="36">
        <v>10000000</v>
      </c>
      <c r="F19" s="108"/>
      <c r="G19" s="107" t="str">
        <f>IF(OR(D30&lt;&gt;(D26*0.302),D25&lt;&gt;1),"ВНИМАНИЕ"," ")</f>
        <v xml:space="preserve"> </v>
      </c>
      <c r="H19" s="108"/>
      <c r="I19" s="108"/>
      <c r="J19" s="108"/>
      <c r="K19" s="108"/>
    </row>
    <row r="20" spans="1:11" ht="15.75" customHeight="1" x14ac:dyDescent="0.2">
      <c r="A20" s="37" t="s">
        <v>127</v>
      </c>
      <c r="B20" s="16"/>
      <c r="C20" s="16"/>
      <c r="D20" s="109">
        <f>E20/E19*100</f>
        <v>50</v>
      </c>
      <c r="E20" s="36">
        <v>5000000</v>
      </c>
      <c r="F20" s="108"/>
      <c r="G20" s="108"/>
      <c r="H20" s="108"/>
      <c r="I20" s="108"/>
      <c r="J20" s="108"/>
      <c r="K20" s="108"/>
    </row>
    <row r="21" spans="1:11" ht="15.75" customHeight="1" x14ac:dyDescent="0.2">
      <c r="A21" s="37" t="s">
        <v>111</v>
      </c>
      <c r="B21" s="16"/>
      <c r="C21" s="16"/>
      <c r="D21" s="109">
        <f>E21/E19*100</f>
        <v>50</v>
      </c>
      <c r="E21" s="36">
        <f>E19-E20</f>
        <v>5000000</v>
      </c>
      <c r="F21" s="108"/>
      <c r="G21" s="108"/>
      <c r="H21" s="108"/>
      <c r="I21" s="108"/>
      <c r="J21" s="108"/>
      <c r="K21" s="108"/>
    </row>
    <row r="22" spans="1:11" ht="30" customHeight="1" x14ac:dyDescent="0.2">
      <c r="A22" s="16" t="s">
        <v>80</v>
      </c>
      <c r="B22" s="16"/>
      <c r="C22" s="16"/>
      <c r="D22" s="26">
        <v>20</v>
      </c>
      <c r="E22" s="25">
        <f>ROUND($E$21*D22/100,2)</f>
        <v>1000000</v>
      </c>
      <c r="F22" s="108"/>
      <c r="G22" s="108"/>
      <c r="H22" s="108"/>
      <c r="I22" s="108"/>
      <c r="J22" s="108"/>
      <c r="K22" s="108"/>
    </row>
    <row r="23" spans="1:11" ht="15.75" customHeight="1" x14ac:dyDescent="0.2">
      <c r="A23" s="16" t="s">
        <v>81</v>
      </c>
      <c r="B23" s="37"/>
      <c r="C23" s="37"/>
      <c r="D23" s="26">
        <f>D19-D22</f>
        <v>80</v>
      </c>
      <c r="E23" s="25">
        <f>E21-E22</f>
        <v>4000000</v>
      </c>
      <c r="F23" s="108"/>
      <c r="G23" s="108"/>
      <c r="H23" s="108"/>
      <c r="I23" s="108"/>
      <c r="J23" s="108"/>
      <c r="K23" s="108"/>
    </row>
    <row r="24" spans="1:11" ht="15.95" customHeight="1" x14ac:dyDescent="0.2">
      <c r="A24" s="16" t="s">
        <v>82</v>
      </c>
      <c r="B24" s="21"/>
      <c r="C24" s="21"/>
      <c r="D24" s="24" t="s">
        <v>94</v>
      </c>
      <c r="E24" s="25">
        <f>E23</f>
        <v>4000000</v>
      </c>
      <c r="F24" s="108"/>
      <c r="G24" s="108"/>
      <c r="H24" s="108"/>
      <c r="I24" s="108"/>
      <c r="J24" s="108"/>
      <c r="K24" s="108"/>
    </row>
    <row r="25" spans="1:11" x14ac:dyDescent="0.2">
      <c r="A25" s="34" t="s">
        <v>33</v>
      </c>
      <c r="B25" s="16"/>
      <c r="C25" s="16"/>
      <c r="D25" s="93">
        <f>SUM(D26:D38)</f>
        <v>1</v>
      </c>
      <c r="E25" s="36">
        <f>SUM(E26:E38)</f>
        <v>4000000</v>
      </c>
      <c r="F25" s="108"/>
      <c r="G25" s="88" t="str">
        <f>IF(D25=1," ","СУММА ПРОЦЕНТОВ НЕ РАВНА 100")</f>
        <v xml:space="preserve"> </v>
      </c>
      <c r="H25" s="108"/>
      <c r="I25" s="108"/>
      <c r="J25" s="108"/>
      <c r="K25" s="108"/>
    </row>
    <row r="26" spans="1:11" x14ac:dyDescent="0.2">
      <c r="A26" s="34" t="s">
        <v>83</v>
      </c>
      <c r="B26" s="21">
        <v>111</v>
      </c>
      <c r="C26" s="21">
        <v>211</v>
      </c>
      <c r="D26" s="94">
        <v>0.6</v>
      </c>
      <c r="E26" s="110">
        <f>$E$24*D26</f>
        <v>2400000</v>
      </c>
      <c r="F26" s="108"/>
      <c r="G26" s="108"/>
      <c r="H26" s="108"/>
      <c r="I26" s="108"/>
      <c r="J26" s="108"/>
      <c r="K26" s="108"/>
    </row>
    <row r="27" spans="1:11" x14ac:dyDescent="0.2">
      <c r="A27" s="111" t="s">
        <v>95</v>
      </c>
      <c r="B27" s="21">
        <v>112</v>
      </c>
      <c r="C27" s="21">
        <v>212</v>
      </c>
      <c r="D27" s="182">
        <v>3.5999999999999999E-3</v>
      </c>
      <c r="E27" s="112">
        <f>$E$24*D27</f>
        <v>14400</v>
      </c>
      <c r="F27" s="108"/>
      <c r="G27" s="108"/>
      <c r="H27" s="108"/>
      <c r="I27" s="108"/>
      <c r="J27" s="108"/>
      <c r="K27" s="108"/>
    </row>
    <row r="28" spans="1:11" ht="33.75" x14ac:dyDescent="0.2">
      <c r="A28" s="15" t="s">
        <v>96</v>
      </c>
      <c r="B28" s="21">
        <v>112</v>
      </c>
      <c r="C28" s="21">
        <v>226</v>
      </c>
      <c r="D28" s="182">
        <v>8.3000000000000001E-3</v>
      </c>
      <c r="E28" s="112">
        <f t="shared" ref="E28:E38" si="0">$E$24*D28</f>
        <v>33200</v>
      </c>
      <c r="F28" s="108"/>
      <c r="G28" s="108"/>
      <c r="H28" s="108"/>
      <c r="I28" s="108"/>
      <c r="J28" s="108"/>
      <c r="K28" s="108"/>
    </row>
    <row r="29" spans="1:11" ht="33.75" x14ac:dyDescent="0.2">
      <c r="A29" s="15" t="s">
        <v>84</v>
      </c>
      <c r="B29" s="21">
        <v>113</v>
      </c>
      <c r="C29" s="21">
        <v>226</v>
      </c>
      <c r="D29" s="182">
        <v>1.1000000000000001E-3</v>
      </c>
      <c r="E29" s="112">
        <f t="shared" si="0"/>
        <v>4400</v>
      </c>
      <c r="F29" s="108"/>
      <c r="G29" s="108"/>
      <c r="H29" s="108"/>
      <c r="I29" s="108"/>
      <c r="J29" s="108"/>
      <c r="K29" s="108"/>
    </row>
    <row r="30" spans="1:11" x14ac:dyDescent="0.2">
      <c r="A30" s="34" t="s">
        <v>85</v>
      </c>
      <c r="B30" s="21">
        <v>119</v>
      </c>
      <c r="C30" s="21">
        <v>213</v>
      </c>
      <c r="D30" s="94">
        <f>D26*0.302</f>
        <v>0.1812</v>
      </c>
      <c r="E30" s="110">
        <f>$E$24*D30</f>
        <v>724800</v>
      </c>
      <c r="F30" s="108"/>
      <c r="G30" s="88" t="str">
        <f>IF((D30=(D26*0.302))," ","СТРАХОВЫЕ ВЫПЛАТЫ НЕ РАВНЫ 30,2% ОТ 111/211")</f>
        <v xml:space="preserve"> </v>
      </c>
      <c r="H30" s="108"/>
      <c r="I30" s="108"/>
      <c r="J30" s="108"/>
      <c r="K30" s="108"/>
    </row>
    <row r="31" spans="1:11" x14ac:dyDescent="0.2">
      <c r="A31" s="16" t="s">
        <v>86</v>
      </c>
      <c r="B31" s="21">
        <v>244</v>
      </c>
      <c r="C31" s="21">
        <v>221</v>
      </c>
      <c r="D31" s="182">
        <v>5.0000000000000001E-3</v>
      </c>
      <c r="E31" s="112">
        <f t="shared" si="0"/>
        <v>20000</v>
      </c>
      <c r="F31" s="108"/>
      <c r="G31" s="108"/>
      <c r="H31" s="108"/>
      <c r="I31" s="108"/>
      <c r="J31" s="108"/>
      <c r="K31" s="108"/>
    </row>
    <row r="32" spans="1:11" x14ac:dyDescent="0.2">
      <c r="A32" s="16" t="s">
        <v>87</v>
      </c>
      <c r="B32" s="21">
        <v>244</v>
      </c>
      <c r="C32" s="21">
        <v>222</v>
      </c>
      <c r="D32" s="182">
        <v>0.01</v>
      </c>
      <c r="E32" s="112">
        <f t="shared" si="0"/>
        <v>40000</v>
      </c>
      <c r="F32" s="108"/>
      <c r="G32" s="108"/>
      <c r="H32" s="108"/>
      <c r="I32" s="108"/>
      <c r="J32" s="108"/>
      <c r="K32" s="108"/>
    </row>
    <row r="33" spans="1:11" x14ac:dyDescent="0.2">
      <c r="A33" s="16" t="s">
        <v>88</v>
      </c>
      <c r="B33" s="21">
        <v>244</v>
      </c>
      <c r="C33" s="21">
        <v>223</v>
      </c>
      <c r="D33" s="182">
        <v>0</v>
      </c>
      <c r="E33" s="112">
        <f t="shared" si="0"/>
        <v>0</v>
      </c>
      <c r="F33" s="108"/>
      <c r="G33" s="108"/>
      <c r="H33" s="108"/>
      <c r="I33" s="108"/>
      <c r="J33" s="108"/>
      <c r="K33" s="108"/>
    </row>
    <row r="34" spans="1:11" x14ac:dyDescent="0.2">
      <c r="A34" s="16" t="s">
        <v>89</v>
      </c>
      <c r="B34" s="21">
        <v>244</v>
      </c>
      <c r="C34" s="21">
        <v>224</v>
      </c>
      <c r="D34" s="182">
        <v>2E-3</v>
      </c>
      <c r="E34" s="112">
        <f t="shared" si="0"/>
        <v>8000</v>
      </c>
      <c r="F34" s="108"/>
      <c r="G34" s="108"/>
      <c r="H34" s="108"/>
      <c r="I34" s="108"/>
      <c r="J34" s="108"/>
      <c r="K34" s="108"/>
    </row>
    <row r="35" spans="1:11" x14ac:dyDescent="0.2">
      <c r="A35" s="34" t="s">
        <v>90</v>
      </c>
      <c r="B35" s="21">
        <v>244</v>
      </c>
      <c r="C35" s="21">
        <v>225</v>
      </c>
      <c r="D35" s="94">
        <v>7.0000000000000007E-2</v>
      </c>
      <c r="E35" s="110">
        <f>$E$24*D35</f>
        <v>280000</v>
      </c>
      <c r="F35" s="108"/>
      <c r="G35" s="108"/>
      <c r="H35" s="108"/>
      <c r="I35" s="108"/>
      <c r="J35" s="108"/>
      <c r="K35" s="108"/>
    </row>
    <row r="36" spans="1:11" x14ac:dyDescent="0.2">
      <c r="A36" s="16" t="s">
        <v>91</v>
      </c>
      <c r="B36" s="21">
        <v>244</v>
      </c>
      <c r="C36" s="21">
        <v>226</v>
      </c>
      <c r="D36" s="182">
        <v>5.6800000000000003E-2</v>
      </c>
      <c r="E36" s="112">
        <f t="shared" si="0"/>
        <v>227200</v>
      </c>
      <c r="F36" s="108"/>
      <c r="G36" s="108"/>
      <c r="H36" s="108"/>
      <c r="I36" s="108"/>
      <c r="J36" s="108"/>
      <c r="K36" s="108"/>
    </row>
    <row r="37" spans="1:11" x14ac:dyDescent="0.2">
      <c r="A37" s="16" t="s">
        <v>92</v>
      </c>
      <c r="B37" s="21">
        <v>244</v>
      </c>
      <c r="C37" s="21">
        <v>310</v>
      </c>
      <c r="D37" s="182">
        <v>0.03</v>
      </c>
      <c r="E37" s="112">
        <f t="shared" si="0"/>
        <v>120000</v>
      </c>
      <c r="F37" s="108"/>
      <c r="G37" s="108"/>
      <c r="H37" s="108"/>
      <c r="I37" s="108"/>
      <c r="J37" s="108"/>
      <c r="K37" s="108"/>
    </row>
    <row r="38" spans="1:11" x14ac:dyDescent="0.2">
      <c r="A38" s="16" t="s">
        <v>93</v>
      </c>
      <c r="B38" s="21">
        <v>244</v>
      </c>
      <c r="C38" s="21">
        <v>340</v>
      </c>
      <c r="D38" s="182">
        <v>3.2000000000000001E-2</v>
      </c>
      <c r="E38" s="112">
        <f t="shared" si="0"/>
        <v>128000</v>
      </c>
      <c r="F38" s="108"/>
      <c r="G38" s="108"/>
      <c r="H38" s="108"/>
      <c r="I38" s="108"/>
      <c r="J38" s="108"/>
      <c r="K38" s="108"/>
    </row>
    <row r="39" spans="1:11" x14ac:dyDescent="0.2">
      <c r="A39" s="77" t="s">
        <v>98</v>
      </c>
      <c r="B39" s="78"/>
      <c r="C39" s="78"/>
      <c r="D39" s="79">
        <f>D25-1</f>
        <v>0</v>
      </c>
      <c r="E39" s="80">
        <f>E25-E24</f>
        <v>0</v>
      </c>
      <c r="F39" s="23" t="s">
        <v>99</v>
      </c>
    </row>
    <row r="40" spans="1:11" x14ac:dyDescent="0.2">
      <c r="A40" s="73"/>
      <c r="B40" s="113"/>
      <c r="C40" s="113"/>
      <c r="D40" s="114"/>
      <c r="E40" s="115"/>
      <c r="F40" s="108"/>
      <c r="G40" s="108"/>
      <c r="H40" s="108"/>
      <c r="I40" s="108"/>
      <c r="J40" s="108"/>
      <c r="K40" s="108"/>
    </row>
    <row r="41" spans="1:11" ht="15.75" x14ac:dyDescent="0.25">
      <c r="A41" s="9" t="s">
        <v>15</v>
      </c>
      <c r="E41" s="8"/>
      <c r="F41" s="108"/>
      <c r="G41" s="108"/>
      <c r="H41" s="108"/>
      <c r="I41" s="108"/>
      <c r="J41" s="108"/>
      <c r="K41" s="108"/>
    </row>
    <row r="42" spans="1:11" ht="36" customHeight="1" x14ac:dyDescent="0.25">
      <c r="A42" s="178" t="s">
        <v>75</v>
      </c>
      <c r="B42" s="178"/>
      <c r="C42" s="178"/>
      <c r="D42" s="178"/>
      <c r="E42" s="178"/>
      <c r="F42" s="117"/>
      <c r="G42" s="108"/>
      <c r="H42" s="108"/>
      <c r="I42" s="108"/>
      <c r="J42" s="108"/>
      <c r="K42" s="108"/>
    </row>
    <row r="43" spans="1:11" ht="18" customHeight="1" x14ac:dyDescent="0.25">
      <c r="A43" s="116"/>
      <c r="B43" s="116"/>
      <c r="C43" s="116"/>
      <c r="D43" s="116"/>
      <c r="E43" s="116"/>
      <c r="F43" s="117"/>
      <c r="G43" s="108"/>
      <c r="H43" s="108"/>
      <c r="I43" s="108"/>
      <c r="J43" s="108"/>
      <c r="K43" s="108"/>
    </row>
    <row r="44" spans="1:11" ht="15.75" x14ac:dyDescent="0.25">
      <c r="A44" s="12" t="s">
        <v>44</v>
      </c>
      <c r="E44" s="8"/>
      <c r="G44" s="22"/>
    </row>
    <row r="45" spans="1:11" ht="15.75" x14ac:dyDescent="0.25">
      <c r="A45" s="11" t="s">
        <v>34</v>
      </c>
      <c r="E45" s="8"/>
      <c r="G45" s="22"/>
    </row>
  </sheetData>
  <mergeCells count="13">
    <mergeCell ref="A42:E42"/>
    <mergeCell ref="A7:E7"/>
    <mergeCell ref="A8:E8"/>
    <mergeCell ref="A9:E9"/>
    <mergeCell ref="A10:E10"/>
    <mergeCell ref="A11:E11"/>
    <mergeCell ref="A16:A17"/>
    <mergeCell ref="B16:B17"/>
    <mergeCell ref="C16:C17"/>
    <mergeCell ref="D16:D17"/>
    <mergeCell ref="A12:E12"/>
    <mergeCell ref="A13:E13"/>
    <mergeCell ref="E16:E17"/>
  </mergeCells>
  <conditionalFormatting sqref="D39">
    <cfRule type="cellIs" dxfId="52" priority="13" stopIfTrue="1" operator="equal">
      <formula>0</formula>
    </cfRule>
    <cfRule type="cellIs" dxfId="51" priority="14" stopIfTrue="1" operator="greaterThan">
      <formula>0</formula>
    </cfRule>
  </conditionalFormatting>
  <conditionalFormatting sqref="D39">
    <cfRule type="cellIs" dxfId="50" priority="1" stopIfTrue="1" operator="equal">
      <formula>0</formula>
    </cfRule>
    <cfRule type="cellIs" dxfId="49" priority="2" stopIfTrue="1" operator="lessThan">
      <formula>0</formula>
    </cfRule>
    <cfRule type="cellIs" dxfId="48" priority="3" stopIfTrue="1" operator="greaterThan">
      <formula>0</formula>
    </cfRule>
    <cfRule type="cellIs" priority="4" stopIfTrue="1" operator="notEqual">
      <formula>0</formula>
    </cfRule>
    <cfRule type="cellIs" priority="5" stopIfTrue="1" operator="notEqual">
      <formula>0</formula>
    </cfRule>
    <cfRule type="cellIs" dxfId="47" priority="6" stopIfTrue="1" operator="equal">
      <formula>0</formula>
    </cfRule>
    <cfRule type="cellIs" dxfId="46" priority="7" stopIfTrue="1" operator="greaterThan">
      <formula>0.0001</formula>
    </cfRule>
    <cfRule type="cellIs" dxfId="45" priority="8" stopIfTrue="1" operator="greaterThan">
      <formula>0</formula>
    </cfRule>
    <cfRule type="cellIs" dxfId="44" priority="12" stopIfTrue="1" operator="lessThan">
      <formula>0</formula>
    </cfRule>
  </conditionalFormatting>
  <conditionalFormatting sqref="E39">
    <cfRule type="cellIs" dxfId="43" priority="10" stopIfTrue="1" operator="equal">
      <formula>0</formula>
    </cfRule>
    <cfRule type="cellIs" dxfId="42" priority="11" stopIfTrue="1" operator="greaterThan">
      <formula>0</formula>
    </cfRule>
  </conditionalFormatting>
  <conditionalFormatting sqref="E39">
    <cfRule type="cellIs" dxfId="41" priority="9" stopIfTrue="1" operator="lessThan">
      <formula>0</formula>
    </cfRule>
  </conditionalFormatting>
  <pageMargins left="0.75" right="0.75" top="1" bottom="1" header="0.5" footer="0.5"/>
  <pageSetup paperSize="9" scale="77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36"/>
  <sheetViews>
    <sheetView topLeftCell="A5" zoomScale="90" zoomScaleNormal="90" workbookViewId="0">
      <selection activeCell="K38" sqref="K38"/>
    </sheetView>
  </sheetViews>
  <sheetFormatPr defaultColWidth="8.85546875" defaultRowHeight="12.75" x14ac:dyDescent="0.2"/>
  <cols>
    <col min="1" max="1" width="48.85546875" style="43" customWidth="1"/>
    <col min="2" max="2" width="7.7109375" style="43" customWidth="1"/>
    <col min="3" max="3" width="7.28515625" style="43" customWidth="1"/>
    <col min="4" max="4" width="14.85546875" style="43" customWidth="1"/>
    <col min="5" max="5" width="14.28515625" style="45" customWidth="1"/>
    <col min="6" max="6" width="11.85546875" style="43" bestFit="1" customWidth="1"/>
    <col min="7" max="7" width="10.140625" style="43" bestFit="1" customWidth="1"/>
    <col min="8" max="8" width="14.140625" style="43" customWidth="1"/>
    <col min="9" max="9" width="10.85546875" style="43" customWidth="1"/>
    <col min="10" max="10" width="8.85546875" style="43"/>
    <col min="11" max="11" width="12" style="43" customWidth="1"/>
    <col min="12" max="16384" width="8.85546875" style="43"/>
  </cols>
  <sheetData>
    <row r="1" spans="1:5" ht="28.5" customHeight="1" x14ac:dyDescent="0.25">
      <c r="B1" s="44" t="s">
        <v>0</v>
      </c>
      <c r="C1" s="44"/>
    </row>
    <row r="2" spans="1:5" ht="15.75" x14ac:dyDescent="0.25">
      <c r="B2" s="44" t="s">
        <v>9</v>
      </c>
      <c r="C2" s="44"/>
    </row>
    <row r="3" spans="1:5" ht="15.75" x14ac:dyDescent="0.25">
      <c r="B3" s="44"/>
      <c r="C3" s="44"/>
    </row>
    <row r="4" spans="1:5" ht="15.75" x14ac:dyDescent="0.25">
      <c r="B4" s="44" t="s">
        <v>8</v>
      </c>
      <c r="C4" s="44"/>
    </row>
    <row r="5" spans="1:5" ht="15.75" x14ac:dyDescent="0.25">
      <c r="B5" s="44" t="s">
        <v>42</v>
      </c>
      <c r="C5" s="44"/>
    </row>
    <row r="6" spans="1:5" ht="34.5" customHeight="1" x14ac:dyDescent="0.3">
      <c r="A6" s="49" t="s">
        <v>1</v>
      </c>
    </row>
    <row r="7" spans="1:5" ht="15.75" x14ac:dyDescent="0.25">
      <c r="A7" s="164" t="s">
        <v>11</v>
      </c>
      <c r="B7" s="164"/>
      <c r="C7" s="164"/>
      <c r="D7" s="164"/>
      <c r="E7" s="164"/>
    </row>
    <row r="8" spans="1:5" ht="15.75" x14ac:dyDescent="0.25">
      <c r="A8" s="181" t="s">
        <v>7</v>
      </c>
      <c r="B8" s="181"/>
      <c r="C8" s="181"/>
      <c r="D8" s="181"/>
      <c r="E8" s="181"/>
    </row>
    <row r="9" spans="1:5" ht="15.75" x14ac:dyDescent="0.25">
      <c r="A9" s="165" t="s">
        <v>10</v>
      </c>
      <c r="B9" s="165"/>
      <c r="C9" s="165"/>
      <c r="D9" s="165"/>
      <c r="E9" s="165"/>
    </row>
    <row r="10" spans="1:5" ht="15.75" x14ac:dyDescent="0.25">
      <c r="A10" s="165" t="s">
        <v>119</v>
      </c>
      <c r="B10" s="165"/>
      <c r="C10" s="165"/>
      <c r="D10" s="165"/>
      <c r="E10" s="165"/>
    </row>
    <row r="11" spans="1:5" ht="15.75" customHeight="1" x14ac:dyDescent="0.2">
      <c r="A11" s="166"/>
      <c r="B11" s="166"/>
      <c r="C11" s="166"/>
      <c r="D11" s="166"/>
      <c r="E11" s="166"/>
    </row>
    <row r="12" spans="1:5" ht="18.600000000000001" customHeight="1" x14ac:dyDescent="0.2">
      <c r="A12" s="65" t="s">
        <v>47</v>
      </c>
    </row>
    <row r="13" spans="1:5" ht="12.95" customHeight="1" x14ac:dyDescent="0.2">
      <c r="A13" s="172" t="s">
        <v>3</v>
      </c>
      <c r="B13" s="170" t="s">
        <v>17</v>
      </c>
      <c r="C13" s="170" t="s">
        <v>16</v>
      </c>
      <c r="D13" s="173" t="s">
        <v>4</v>
      </c>
      <c r="E13" s="175" t="s">
        <v>5</v>
      </c>
    </row>
    <row r="14" spans="1:5" ht="10.5" customHeight="1" x14ac:dyDescent="0.2">
      <c r="A14" s="180" t="s">
        <v>3</v>
      </c>
      <c r="B14" s="171"/>
      <c r="C14" s="170"/>
      <c r="D14" s="173"/>
      <c r="E14" s="175"/>
    </row>
    <row r="15" spans="1:5" s="54" customFormat="1" ht="10.5" customHeight="1" x14ac:dyDescent="0.2">
      <c r="A15" s="52">
        <v>1</v>
      </c>
      <c r="B15" s="52">
        <v>2</v>
      </c>
      <c r="C15" s="52">
        <v>3</v>
      </c>
      <c r="D15" s="83">
        <v>4</v>
      </c>
      <c r="E15" s="53">
        <v>5</v>
      </c>
    </row>
    <row r="16" spans="1:5" x14ac:dyDescent="0.2">
      <c r="A16" s="40" t="s">
        <v>20</v>
      </c>
      <c r="B16" s="40"/>
      <c r="C16" s="40"/>
      <c r="D16" s="84"/>
      <c r="E16" s="140">
        <v>10000000</v>
      </c>
    </row>
    <row r="17" spans="1:11" ht="14.25" customHeight="1" x14ac:dyDescent="0.25">
      <c r="A17" s="56" t="s">
        <v>22</v>
      </c>
      <c r="B17" s="40"/>
      <c r="C17" s="40"/>
      <c r="D17" s="135">
        <f>SUM(D18:D29)+D30</f>
        <v>0.99999999999999978</v>
      </c>
      <c r="E17" s="141">
        <f>SUM(E18:E29)+E30</f>
        <v>10000000</v>
      </c>
      <c r="G17" s="107" t="str">
        <f>IF(OR(D18&gt;0.5,D21&lt;&gt;(D18*0.302),D17&lt;&gt;1,D26&lt;0.077),"ВНИМАНИЕ"," ")</f>
        <v xml:space="preserve"> </v>
      </c>
      <c r="H17" s="45"/>
      <c r="I17" s="45"/>
    </row>
    <row r="18" spans="1:11" x14ac:dyDescent="0.2">
      <c r="A18" s="56" t="s">
        <v>21</v>
      </c>
      <c r="B18" s="41">
        <v>111</v>
      </c>
      <c r="C18" s="41">
        <v>211</v>
      </c>
      <c r="D18" s="185">
        <v>0.5</v>
      </c>
      <c r="E18" s="138">
        <f>$E$16*D18</f>
        <v>5000000</v>
      </c>
      <c r="G18" s="88" t="str">
        <f>IF(D18&gt;0.5,"Необходимо согласование проректора"," ")</f>
        <v xml:space="preserve"> </v>
      </c>
      <c r="H18" s="45"/>
      <c r="I18" s="64"/>
    </row>
    <row r="19" spans="1:11" x14ac:dyDescent="0.2">
      <c r="A19" s="17" t="s">
        <v>59</v>
      </c>
      <c r="B19" s="41">
        <v>112</v>
      </c>
      <c r="C19" s="41">
        <v>212</v>
      </c>
      <c r="D19" s="186">
        <v>7.4999999999999997E-3</v>
      </c>
      <c r="E19" s="139">
        <f t="shared" ref="E19:E30" si="0">$E$16*D19</f>
        <v>75000</v>
      </c>
      <c r="G19" s="88"/>
      <c r="H19" s="45"/>
      <c r="I19" s="64"/>
    </row>
    <row r="20" spans="1:11" ht="33.75" x14ac:dyDescent="0.2">
      <c r="A20" s="42" t="s">
        <v>60</v>
      </c>
      <c r="B20" s="41">
        <v>112</v>
      </c>
      <c r="C20" s="41">
        <v>226</v>
      </c>
      <c r="D20" s="186">
        <v>1.7500000000000002E-2</v>
      </c>
      <c r="E20" s="139">
        <f t="shared" si="0"/>
        <v>175000.00000000003</v>
      </c>
      <c r="G20" s="88"/>
      <c r="H20" s="45"/>
      <c r="I20" s="64"/>
    </row>
    <row r="21" spans="1:11" x14ac:dyDescent="0.2">
      <c r="A21" s="56" t="s">
        <v>48</v>
      </c>
      <c r="B21" s="41">
        <v>119</v>
      </c>
      <c r="C21" s="41">
        <v>213</v>
      </c>
      <c r="D21" s="185">
        <f>D18*0.302</f>
        <v>0.151</v>
      </c>
      <c r="E21" s="138">
        <f t="shared" si="0"/>
        <v>1510000</v>
      </c>
      <c r="G21" s="88" t="str">
        <f>IF((D21=(D18*0.302))," ","СТРАХОВЫЕ ВЫПЛАТЫ НЕ РАВНЫ 30,2% ОТ 111/211")</f>
        <v xml:space="preserve"> </v>
      </c>
      <c r="H21" s="45"/>
      <c r="I21" s="64"/>
    </row>
    <row r="22" spans="1:11" x14ac:dyDescent="0.2">
      <c r="A22" s="40" t="s">
        <v>49</v>
      </c>
      <c r="B22" s="41">
        <v>244</v>
      </c>
      <c r="C22" s="41">
        <v>221</v>
      </c>
      <c r="D22" s="186">
        <v>0.01</v>
      </c>
      <c r="E22" s="139">
        <f t="shared" si="0"/>
        <v>100000</v>
      </c>
      <c r="G22" s="45"/>
      <c r="H22" s="45"/>
      <c r="I22" s="64"/>
    </row>
    <row r="23" spans="1:11" ht="14.25" customHeight="1" x14ac:dyDescent="0.2">
      <c r="A23" s="40" t="s">
        <v>50</v>
      </c>
      <c r="B23" s="41">
        <v>244</v>
      </c>
      <c r="C23" s="41">
        <v>222</v>
      </c>
      <c r="D23" s="186">
        <v>0.01</v>
      </c>
      <c r="E23" s="139">
        <f t="shared" si="0"/>
        <v>100000</v>
      </c>
      <c r="G23" s="45"/>
      <c r="H23" s="62"/>
      <c r="I23" s="64"/>
    </row>
    <row r="24" spans="1:11" ht="14.25" customHeight="1" x14ac:dyDescent="0.2">
      <c r="A24" s="40" t="s">
        <v>51</v>
      </c>
      <c r="B24" s="41">
        <v>244</v>
      </c>
      <c r="C24" s="41">
        <v>223</v>
      </c>
      <c r="D24" s="186">
        <v>0</v>
      </c>
      <c r="E24" s="139">
        <f t="shared" si="0"/>
        <v>0</v>
      </c>
      <c r="G24" s="45"/>
      <c r="H24" s="62"/>
      <c r="I24" s="64"/>
    </row>
    <row r="25" spans="1:11" x14ac:dyDescent="0.2">
      <c r="A25" s="40" t="s">
        <v>52</v>
      </c>
      <c r="B25" s="41">
        <v>244</v>
      </c>
      <c r="C25" s="41">
        <v>224</v>
      </c>
      <c r="D25" s="186">
        <v>2E-3</v>
      </c>
      <c r="E25" s="139">
        <f t="shared" si="0"/>
        <v>20000</v>
      </c>
      <c r="G25" s="45"/>
      <c r="I25" s="64"/>
    </row>
    <row r="26" spans="1:11" x14ac:dyDescent="0.2">
      <c r="A26" s="56" t="s">
        <v>53</v>
      </c>
      <c r="B26" s="41">
        <v>244</v>
      </c>
      <c r="C26" s="41">
        <v>225</v>
      </c>
      <c r="D26" s="185">
        <v>7.6999999999999999E-2</v>
      </c>
      <c r="E26" s="138">
        <f t="shared" si="0"/>
        <v>770000</v>
      </c>
      <c r="G26" s="88" t="str">
        <f>IF(D26&gt;=0.077," ","Процент не соответствует регламенту, требуется согласование Проректора по экономике и финансам")</f>
        <v xml:space="preserve"> </v>
      </c>
      <c r="H26" s="45"/>
      <c r="I26" s="64"/>
      <c r="K26" s="45"/>
    </row>
    <row r="27" spans="1:11" x14ac:dyDescent="0.2">
      <c r="A27" s="40" t="s">
        <v>54</v>
      </c>
      <c r="B27" s="41">
        <v>244</v>
      </c>
      <c r="C27" s="41">
        <v>226</v>
      </c>
      <c r="D27" s="186">
        <v>0.09</v>
      </c>
      <c r="E27" s="139">
        <f t="shared" si="0"/>
        <v>900000</v>
      </c>
      <c r="G27" s="45"/>
      <c r="H27" s="45"/>
      <c r="I27" s="64"/>
    </row>
    <row r="28" spans="1:11" x14ac:dyDescent="0.2">
      <c r="A28" s="40" t="s">
        <v>55</v>
      </c>
      <c r="B28" s="41">
        <v>244</v>
      </c>
      <c r="C28" s="41">
        <v>310</v>
      </c>
      <c r="D28" s="186">
        <v>7.0000000000000007E-2</v>
      </c>
      <c r="E28" s="139">
        <f t="shared" si="0"/>
        <v>700000.00000000012</v>
      </c>
      <c r="G28" s="45"/>
      <c r="I28" s="64"/>
    </row>
    <row r="29" spans="1:11" x14ac:dyDescent="0.2">
      <c r="A29" s="40" t="s">
        <v>77</v>
      </c>
      <c r="B29" s="41">
        <v>244</v>
      </c>
      <c r="C29" s="41">
        <v>340</v>
      </c>
      <c r="D29" s="186">
        <v>6.5000000000000002E-2</v>
      </c>
      <c r="E29" s="139">
        <f>$E$16*D29</f>
        <v>650000</v>
      </c>
      <c r="G29" s="45"/>
      <c r="I29" s="64"/>
    </row>
    <row r="30" spans="1:11" x14ac:dyDescent="0.2">
      <c r="A30" s="40" t="s">
        <v>103</v>
      </c>
      <c r="B30" s="41">
        <v>340</v>
      </c>
      <c r="C30" s="41">
        <v>296</v>
      </c>
      <c r="D30" s="186">
        <v>0</v>
      </c>
      <c r="E30" s="139">
        <f t="shared" si="0"/>
        <v>0</v>
      </c>
      <c r="G30" s="45"/>
      <c r="I30" s="64"/>
    </row>
    <row r="31" spans="1:11" customFormat="1" x14ac:dyDescent="0.2">
      <c r="A31" s="77" t="s">
        <v>98</v>
      </c>
      <c r="B31" s="78"/>
      <c r="C31" s="78"/>
      <c r="D31" s="79">
        <f>D17-1</f>
        <v>0</v>
      </c>
      <c r="E31" s="80">
        <f>E16-E17</f>
        <v>0</v>
      </c>
      <c r="F31" s="23" t="s">
        <v>99</v>
      </c>
    </row>
    <row r="32" spans="1:11" x14ac:dyDescent="0.2">
      <c r="A32" s="67"/>
      <c r="B32" s="68"/>
      <c r="C32" s="68"/>
      <c r="D32" s="69"/>
      <c r="E32" s="70"/>
      <c r="G32" s="45"/>
      <c r="I32" s="64"/>
    </row>
    <row r="33" spans="1:7" ht="15.75" x14ac:dyDescent="0.2">
      <c r="A33" s="57" t="s">
        <v>15</v>
      </c>
      <c r="B33" s="58"/>
      <c r="C33" s="58"/>
      <c r="D33" s="59"/>
      <c r="E33" s="60"/>
    </row>
    <row r="34" spans="1:7" x14ac:dyDescent="0.2">
      <c r="A34" s="179"/>
      <c r="B34" s="179"/>
      <c r="C34" s="179"/>
      <c r="D34" s="179"/>
      <c r="E34" s="179"/>
      <c r="G34" s="45"/>
    </row>
    <row r="35" spans="1:7" ht="20.25" customHeight="1" x14ac:dyDescent="0.25">
      <c r="A35" s="44"/>
      <c r="E35" s="61"/>
    </row>
    <row r="36" spans="1:7" ht="20.25" customHeight="1" x14ac:dyDescent="0.25">
      <c r="A36" s="44"/>
      <c r="E36" s="61"/>
    </row>
  </sheetData>
  <mergeCells count="11">
    <mergeCell ref="A7:E7"/>
    <mergeCell ref="A8:E8"/>
    <mergeCell ref="A9:E9"/>
    <mergeCell ref="A10:E10"/>
    <mergeCell ref="E13:E14"/>
    <mergeCell ref="C13:C14"/>
    <mergeCell ref="A34:E34"/>
    <mergeCell ref="A11:E11"/>
    <mergeCell ref="A13:A14"/>
    <mergeCell ref="B13:B14"/>
    <mergeCell ref="D13:D14"/>
  </mergeCells>
  <phoneticPr fontId="11" type="noConversion"/>
  <conditionalFormatting sqref="D31:E31">
    <cfRule type="cellIs" dxfId="40" priority="17" stopIfTrue="1" operator="equal">
      <formula>0</formula>
    </cfRule>
    <cfRule type="cellIs" dxfId="39" priority="18" stopIfTrue="1" operator="greaterThan">
      <formula>0</formula>
    </cfRule>
  </conditionalFormatting>
  <conditionalFormatting sqref="D31">
    <cfRule type="cellIs" dxfId="38" priority="6" stopIfTrue="1" operator="equal">
      <formula>0</formula>
    </cfRule>
    <cfRule type="cellIs" dxfId="37" priority="7" stopIfTrue="1" operator="lessThan">
      <formula>0</formula>
    </cfRule>
    <cfRule type="cellIs" dxfId="36" priority="8" stopIfTrue="1" operator="greaterThan">
      <formula>0</formula>
    </cfRule>
    <cfRule type="cellIs" priority="9" stopIfTrue="1" operator="notEqual">
      <formula>0</formula>
    </cfRule>
    <cfRule type="cellIs" priority="10" stopIfTrue="1" operator="notEqual">
      <formula>0</formula>
    </cfRule>
    <cfRule type="cellIs" dxfId="35" priority="11" stopIfTrue="1" operator="equal">
      <formula>0</formula>
    </cfRule>
    <cfRule type="cellIs" dxfId="34" priority="13" stopIfTrue="1" operator="greaterThan">
      <formula>0.0001</formula>
    </cfRule>
    <cfRule type="cellIs" dxfId="33" priority="14" stopIfTrue="1" operator="greaterThan">
      <formula>0</formula>
    </cfRule>
    <cfRule type="cellIs" dxfId="32" priority="16" stopIfTrue="1" operator="lessThan">
      <formula>0</formula>
    </cfRule>
  </conditionalFormatting>
  <conditionalFormatting sqref="E31">
    <cfRule type="cellIs" dxfId="31" priority="12" stopIfTrue="1" operator="lessThan">
      <formula>-65.96</formula>
    </cfRule>
    <cfRule type="cellIs" dxfId="30" priority="15" stopIfTrue="1" operator="lessThan">
      <formula>0</formula>
    </cfRule>
  </conditionalFormatting>
  <conditionalFormatting sqref="D26">
    <cfRule type="cellIs" dxfId="29" priority="3" stopIfTrue="1" operator="lessThan">
      <formula>0.077</formula>
    </cfRule>
  </conditionalFormatting>
  <conditionalFormatting sqref="D21">
    <cfRule type="cellIs" dxfId="28" priority="2" stopIfTrue="1" operator="notEqual">
      <formula>$D$18*0.302</formula>
    </cfRule>
  </conditionalFormatting>
  <conditionalFormatting sqref="D17">
    <cfRule type="cellIs" dxfId="27" priority="1" stopIfTrue="1" operator="notEqual">
      <formula>1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46"/>
  <sheetViews>
    <sheetView topLeftCell="A13" zoomScale="90" zoomScaleNormal="90" workbookViewId="0">
      <selection activeCell="I30" sqref="I30"/>
    </sheetView>
  </sheetViews>
  <sheetFormatPr defaultRowHeight="12.75" x14ac:dyDescent="0.2"/>
  <cols>
    <col min="1" max="1" width="63.28515625" customWidth="1"/>
    <col min="2" max="2" width="7" customWidth="1"/>
    <col min="3" max="3" width="7.42578125" customWidth="1"/>
    <col min="4" max="4" width="12.42578125" customWidth="1"/>
    <col min="5" max="5" width="16.5703125" customWidth="1"/>
    <col min="7" max="7" width="15.42578125" style="22" bestFit="1" customWidth="1"/>
    <col min="8" max="8" width="11.7109375" customWidth="1"/>
  </cols>
  <sheetData>
    <row r="1" spans="1:7" ht="15.75" x14ac:dyDescent="0.25">
      <c r="B1" s="1" t="s">
        <v>0</v>
      </c>
      <c r="C1" s="1"/>
      <c r="E1" s="2"/>
    </row>
    <row r="2" spans="1:7" ht="15.75" x14ac:dyDescent="0.25">
      <c r="B2" s="12" t="s">
        <v>27</v>
      </c>
      <c r="C2" s="1"/>
      <c r="E2" s="2"/>
    </row>
    <row r="3" spans="1:7" ht="15" customHeight="1" x14ac:dyDescent="0.25">
      <c r="B3" s="13" t="s">
        <v>29</v>
      </c>
      <c r="C3" s="1"/>
      <c r="E3" s="2"/>
    </row>
    <row r="4" spans="1:7" ht="15.75" x14ac:dyDescent="0.25">
      <c r="B4" s="1" t="s">
        <v>24</v>
      </c>
      <c r="C4" s="1"/>
      <c r="E4" s="2"/>
    </row>
    <row r="5" spans="1:7" ht="15.75" x14ac:dyDescent="0.25">
      <c r="B5" s="11" t="s">
        <v>28</v>
      </c>
      <c r="C5" s="1"/>
      <c r="E5" s="2"/>
    </row>
    <row r="6" spans="1:7" ht="15.75" x14ac:dyDescent="0.25">
      <c r="B6" s="1" t="s">
        <v>40</v>
      </c>
      <c r="C6" s="1"/>
      <c r="E6" s="2"/>
    </row>
    <row r="7" spans="1:7" ht="18.75" x14ac:dyDescent="0.3">
      <c r="A7" s="153" t="s">
        <v>1</v>
      </c>
      <c r="B7" s="153"/>
      <c r="C7" s="153"/>
      <c r="D7" s="153"/>
      <c r="E7" s="153"/>
    </row>
    <row r="8" spans="1:7" ht="15.75" x14ac:dyDescent="0.25">
      <c r="A8" s="154" t="s">
        <v>2</v>
      </c>
      <c r="B8" s="154"/>
      <c r="C8" s="154"/>
      <c r="D8" s="154"/>
      <c r="E8" s="154"/>
    </row>
    <row r="9" spans="1:7" ht="14.25" x14ac:dyDescent="0.2">
      <c r="A9" s="152" t="s">
        <v>120</v>
      </c>
      <c r="B9" s="152"/>
      <c r="C9" s="152"/>
      <c r="D9" s="152"/>
      <c r="E9" s="152"/>
    </row>
    <row r="10" spans="1:7" ht="14.25" x14ac:dyDescent="0.2">
      <c r="A10" s="151" t="s">
        <v>122</v>
      </c>
      <c r="B10" s="151"/>
      <c r="C10" s="151"/>
      <c r="D10" s="151"/>
      <c r="E10" s="151"/>
    </row>
    <row r="11" spans="1:7" ht="15.75" x14ac:dyDescent="0.25">
      <c r="A11" s="3"/>
      <c r="E11" s="2"/>
    </row>
    <row r="12" spans="1:7" x14ac:dyDescent="0.2">
      <c r="A12" s="18" t="s">
        <v>100</v>
      </c>
      <c r="E12" s="2"/>
    </row>
    <row r="13" spans="1:7" x14ac:dyDescent="0.2">
      <c r="A13" s="155" t="s">
        <v>3</v>
      </c>
      <c r="B13" s="157" t="s">
        <v>17</v>
      </c>
      <c r="C13" s="157" t="s">
        <v>16</v>
      </c>
      <c r="D13" s="159" t="s">
        <v>4</v>
      </c>
      <c r="E13" s="160" t="s">
        <v>5</v>
      </c>
    </row>
    <row r="14" spans="1:7" x14ac:dyDescent="0.2">
      <c r="A14" s="156" t="s">
        <v>3</v>
      </c>
      <c r="B14" s="158"/>
      <c r="C14" s="158"/>
      <c r="D14" s="159"/>
      <c r="E14" s="161" t="s">
        <v>6</v>
      </c>
    </row>
    <row r="15" spans="1:7" s="14" customFormat="1" ht="11.25" x14ac:dyDescent="0.2">
      <c r="A15" s="19">
        <v>1</v>
      </c>
      <c r="B15" s="19">
        <v>2</v>
      </c>
      <c r="C15" s="19">
        <v>3</v>
      </c>
      <c r="D15" s="19">
        <v>4</v>
      </c>
      <c r="E15" s="20">
        <v>5</v>
      </c>
      <c r="G15" s="23"/>
    </row>
    <row r="16" spans="1:7" ht="14.25" customHeight="1" x14ac:dyDescent="0.25">
      <c r="A16" s="16" t="s">
        <v>26</v>
      </c>
      <c r="B16" s="16"/>
      <c r="C16" s="16"/>
      <c r="D16" s="35">
        <v>100</v>
      </c>
      <c r="E16" s="36">
        <v>2002023</v>
      </c>
      <c r="G16" s="107" t="str">
        <f>IF(OR(D27&gt;0.55,D31&lt;&gt;(D27*0.302),D26&lt;&gt;1,D36&lt;0.077),"ВНИМАНИЕ"," ")</f>
        <v xml:space="preserve"> </v>
      </c>
    </row>
    <row r="17" spans="1:9" ht="25.5" customHeight="1" x14ac:dyDescent="0.2">
      <c r="A17" s="16" t="s">
        <v>46</v>
      </c>
      <c r="B17" s="16"/>
      <c r="C17" s="16"/>
      <c r="D17" s="26">
        <f>32</f>
        <v>32</v>
      </c>
      <c r="E17" s="25">
        <f>ROUND($E$16*D17/100,2)</f>
        <v>640647.36</v>
      </c>
    </row>
    <row r="18" spans="1:9" ht="13.7" customHeight="1" x14ac:dyDescent="0.2">
      <c r="A18" s="16" t="s">
        <v>31</v>
      </c>
      <c r="B18" s="37"/>
      <c r="C18" s="37"/>
      <c r="D18" s="26">
        <v>0</v>
      </c>
      <c r="E18" s="25">
        <f>ROUND($E$16*D18/100,2)</f>
        <v>0</v>
      </c>
    </row>
    <row r="19" spans="1:9" ht="22.5" customHeight="1" x14ac:dyDescent="0.2">
      <c r="A19" s="16" t="s">
        <v>23</v>
      </c>
      <c r="B19" s="16"/>
      <c r="C19" s="16"/>
      <c r="D19" s="24">
        <v>0</v>
      </c>
      <c r="E19" s="25">
        <f>E16-E17-E18</f>
        <v>1361375.6400000001</v>
      </c>
    </row>
    <row r="20" spans="1:9" ht="36" customHeight="1" x14ac:dyDescent="0.2">
      <c r="A20" s="16" t="s">
        <v>110</v>
      </c>
      <c r="B20" s="16"/>
      <c r="C20" s="16"/>
      <c r="D20" s="24"/>
      <c r="E20" s="29">
        <f>E16-E17+200000-150000</f>
        <v>1411375.6400000001</v>
      </c>
      <c r="H20" s="4"/>
      <c r="I20" s="2"/>
    </row>
    <row r="21" spans="1:9" ht="12.75" customHeight="1" x14ac:dyDescent="0.2">
      <c r="A21" s="38" t="s">
        <v>12</v>
      </c>
      <c r="B21" s="27"/>
      <c r="C21" s="27"/>
      <c r="D21" s="28"/>
      <c r="E21" s="29">
        <v>0</v>
      </c>
      <c r="H21" s="4"/>
      <c r="I21" s="2"/>
    </row>
    <row r="22" spans="1:9" ht="12.75" customHeight="1" x14ac:dyDescent="0.2">
      <c r="A22" s="39" t="s">
        <v>71</v>
      </c>
      <c r="B22" s="30"/>
      <c r="C22" s="30"/>
      <c r="D22" s="31"/>
      <c r="E22" s="76">
        <v>0</v>
      </c>
      <c r="H22" s="4"/>
      <c r="I22" s="2"/>
    </row>
    <row r="23" spans="1:9" ht="13.7" customHeight="1" x14ac:dyDescent="0.2">
      <c r="A23" s="38" t="s">
        <v>37</v>
      </c>
      <c r="B23" s="27"/>
      <c r="C23" s="27"/>
      <c r="D23" s="28">
        <v>3</v>
      </c>
      <c r="E23" s="29">
        <f>ROUND(E20*D23/100,2)</f>
        <v>42341.27</v>
      </c>
      <c r="H23" s="4"/>
      <c r="I23" s="2"/>
    </row>
    <row r="24" spans="1:9" ht="11.25" customHeight="1" x14ac:dyDescent="0.2">
      <c r="A24" s="39" t="s">
        <v>35</v>
      </c>
      <c r="B24" s="30"/>
      <c r="C24" s="30"/>
      <c r="D24" s="33"/>
      <c r="E24" s="32">
        <f>E23*D24%</f>
        <v>0</v>
      </c>
      <c r="H24" s="4"/>
      <c r="I24" s="2"/>
    </row>
    <row r="25" spans="1:9" ht="25.5" x14ac:dyDescent="0.2">
      <c r="A25" s="16" t="s">
        <v>14</v>
      </c>
      <c r="B25" s="16"/>
      <c r="C25" s="16"/>
      <c r="D25" s="21" t="s">
        <v>18</v>
      </c>
      <c r="E25" s="32">
        <f>E20-E23</f>
        <v>1369034.37</v>
      </c>
      <c r="H25" s="4"/>
      <c r="I25" s="2"/>
    </row>
    <row r="26" spans="1:9" x14ac:dyDescent="0.2">
      <c r="A26" s="34" t="s">
        <v>38</v>
      </c>
      <c r="B26" s="16"/>
      <c r="C26" s="16"/>
      <c r="D26" s="93">
        <f>SUM(D27:D39)+D40</f>
        <v>1</v>
      </c>
      <c r="E26" s="36">
        <f>SUM(E27:E39)+E40</f>
        <v>1369034.37</v>
      </c>
      <c r="G26" s="88" t="str">
        <f>IF(D26=1," ","СУММА ПРОЦЕНТОВ НЕ РАВНА 100")</f>
        <v xml:space="preserve"> </v>
      </c>
      <c r="H26" s="4"/>
      <c r="I26" s="2"/>
    </row>
    <row r="27" spans="1:9" ht="15.75" customHeight="1" x14ac:dyDescent="0.2">
      <c r="A27" s="34" t="s">
        <v>13</v>
      </c>
      <c r="B27" s="21">
        <v>111</v>
      </c>
      <c r="C27" s="21">
        <v>211</v>
      </c>
      <c r="D27" s="94">
        <v>0.55000000000000004</v>
      </c>
      <c r="E27" s="36">
        <f>$E$25*D27</f>
        <v>752968.90350000013</v>
      </c>
      <c r="G27" s="88" t="str">
        <f>IF(D27&gt;0.55,"Необходимо согласование проректора"," ")</f>
        <v xml:space="preserve"> </v>
      </c>
      <c r="H27" s="2"/>
      <c r="I27" s="4"/>
    </row>
    <row r="28" spans="1:9" x14ac:dyDescent="0.2">
      <c r="A28" s="17" t="s">
        <v>43</v>
      </c>
      <c r="B28" s="41">
        <v>112</v>
      </c>
      <c r="C28" s="41">
        <v>212</v>
      </c>
      <c r="D28" s="187">
        <v>0</v>
      </c>
      <c r="E28" s="25">
        <f t="shared" ref="E28:E40" si="0">$E$25*D28</f>
        <v>0</v>
      </c>
      <c r="G28" s="88"/>
      <c r="I28" s="4"/>
    </row>
    <row r="29" spans="1:9" ht="23.25" x14ac:dyDescent="0.2">
      <c r="A29" s="42" t="s">
        <v>61</v>
      </c>
      <c r="B29" s="41">
        <v>112</v>
      </c>
      <c r="C29" s="41">
        <v>226</v>
      </c>
      <c r="D29" s="187">
        <v>0</v>
      </c>
      <c r="E29" s="25">
        <f t="shared" si="0"/>
        <v>0</v>
      </c>
      <c r="G29" s="88"/>
      <c r="I29" s="4"/>
    </row>
    <row r="30" spans="1:9" ht="34.5" x14ac:dyDescent="0.2">
      <c r="A30" s="15" t="s">
        <v>62</v>
      </c>
      <c r="B30" s="21">
        <v>113</v>
      </c>
      <c r="C30" s="21">
        <v>226</v>
      </c>
      <c r="D30" s="182">
        <v>3.2500000000000001E-2</v>
      </c>
      <c r="E30" s="25">
        <f t="shared" si="0"/>
        <v>44493.617025000007</v>
      </c>
      <c r="G30" s="88"/>
      <c r="I30" s="4"/>
    </row>
    <row r="31" spans="1:9" x14ac:dyDescent="0.2">
      <c r="A31" s="34" t="s">
        <v>63</v>
      </c>
      <c r="B31" s="21">
        <v>119</v>
      </c>
      <c r="C31" s="21">
        <v>213</v>
      </c>
      <c r="D31" s="94">
        <f>D27*0.302</f>
        <v>0.1661</v>
      </c>
      <c r="E31" s="36">
        <f t="shared" si="0"/>
        <v>227396.60885700001</v>
      </c>
      <c r="G31" s="88" t="str">
        <f>IF((D31=(D27*0.302))," ","СТРАХОВЫЕ ВЫПЛАТЫ НЕ РАВНЫ 30,2% ОТ 111/211")</f>
        <v xml:space="preserve"> </v>
      </c>
      <c r="H31" s="2"/>
      <c r="I31" s="4"/>
    </row>
    <row r="32" spans="1:9" x14ac:dyDescent="0.2">
      <c r="A32" s="16" t="s">
        <v>64</v>
      </c>
      <c r="B32" s="21">
        <v>244</v>
      </c>
      <c r="C32" s="21">
        <v>221</v>
      </c>
      <c r="D32" s="182">
        <v>0.01</v>
      </c>
      <c r="E32" s="25">
        <f t="shared" si="0"/>
        <v>13690.343700000001</v>
      </c>
      <c r="H32" s="2"/>
      <c r="I32" s="4"/>
    </row>
    <row r="33" spans="1:11" x14ac:dyDescent="0.2">
      <c r="A33" s="16" t="s">
        <v>65</v>
      </c>
      <c r="B33" s="21">
        <v>244</v>
      </c>
      <c r="C33" s="21">
        <v>222</v>
      </c>
      <c r="D33" s="182">
        <v>0</v>
      </c>
      <c r="E33" s="25">
        <f t="shared" si="0"/>
        <v>0</v>
      </c>
      <c r="H33" s="2"/>
      <c r="I33" s="4"/>
    </row>
    <row r="34" spans="1:11" x14ac:dyDescent="0.2">
      <c r="A34" s="16" t="s">
        <v>66</v>
      </c>
      <c r="B34" s="21">
        <v>244</v>
      </c>
      <c r="C34" s="21" t="s">
        <v>78</v>
      </c>
      <c r="D34" s="182">
        <v>0</v>
      </c>
      <c r="E34" s="25">
        <f t="shared" si="0"/>
        <v>0</v>
      </c>
      <c r="I34" s="4"/>
    </row>
    <row r="35" spans="1:11" x14ac:dyDescent="0.2">
      <c r="A35" s="16" t="s">
        <v>67</v>
      </c>
      <c r="B35" s="21">
        <v>244</v>
      </c>
      <c r="C35" s="21">
        <v>224</v>
      </c>
      <c r="D35" s="182">
        <v>0</v>
      </c>
      <c r="E35" s="25">
        <f t="shared" si="0"/>
        <v>0</v>
      </c>
      <c r="H35" s="2"/>
      <c r="I35" s="4"/>
      <c r="K35" s="2"/>
    </row>
    <row r="36" spans="1:11" x14ac:dyDescent="0.2">
      <c r="A36" s="34" t="s">
        <v>68</v>
      </c>
      <c r="B36" s="21">
        <v>244</v>
      </c>
      <c r="C36" s="21">
        <v>225</v>
      </c>
      <c r="D36" s="94">
        <v>7.6999999999999999E-2</v>
      </c>
      <c r="E36" s="36">
        <f t="shared" si="0"/>
        <v>105415.64649000001</v>
      </c>
      <c r="G36" s="88" t="str">
        <f>IF(D36&gt;=0.077," ","Процент не соответствует регламенту, требуется согласование Проректора по экономике и финансам")</f>
        <v xml:space="preserve"> </v>
      </c>
      <c r="H36" s="2"/>
      <c r="I36" s="4"/>
    </row>
    <row r="37" spans="1:11" x14ac:dyDescent="0.2">
      <c r="A37" s="16" t="s">
        <v>69</v>
      </c>
      <c r="B37" s="21">
        <v>244</v>
      </c>
      <c r="C37" s="21">
        <v>226</v>
      </c>
      <c r="D37" s="182">
        <v>0.13639999999999999</v>
      </c>
      <c r="E37" s="25">
        <f t="shared" si="0"/>
        <v>186736.28806799999</v>
      </c>
      <c r="H37" s="2"/>
      <c r="I37" s="4"/>
    </row>
    <row r="38" spans="1:11" x14ac:dyDescent="0.2">
      <c r="A38" s="16" t="s">
        <v>70</v>
      </c>
      <c r="B38" s="21">
        <v>244</v>
      </c>
      <c r="C38" s="21">
        <v>310</v>
      </c>
      <c r="D38" s="182">
        <v>1.4999999999999999E-2</v>
      </c>
      <c r="E38" s="25">
        <f t="shared" si="0"/>
        <v>20535.51555</v>
      </c>
      <c r="I38" s="4"/>
    </row>
    <row r="39" spans="1:11" x14ac:dyDescent="0.2">
      <c r="A39" s="27" t="s">
        <v>76</v>
      </c>
      <c r="B39" s="21">
        <v>244</v>
      </c>
      <c r="C39" s="21">
        <v>340</v>
      </c>
      <c r="D39" s="182">
        <v>1.2999999999999999E-2</v>
      </c>
      <c r="E39" s="25">
        <f>$E$25*D39</f>
        <v>17797.446810000001</v>
      </c>
    </row>
    <row r="40" spans="1:11" x14ac:dyDescent="0.2">
      <c r="A40" s="16" t="s">
        <v>101</v>
      </c>
      <c r="B40" s="21">
        <v>340</v>
      </c>
      <c r="C40" s="21">
        <v>296</v>
      </c>
      <c r="D40" s="182">
        <v>0</v>
      </c>
      <c r="E40" s="25">
        <f t="shared" si="0"/>
        <v>0</v>
      </c>
      <c r="H40" s="2"/>
      <c r="I40" s="4"/>
    </row>
    <row r="41" spans="1:11" x14ac:dyDescent="0.2">
      <c r="A41" s="77" t="s">
        <v>98</v>
      </c>
      <c r="B41" s="78"/>
      <c r="C41" s="78"/>
      <c r="D41" s="79">
        <f>D26-1</f>
        <v>0</v>
      </c>
      <c r="E41" s="80">
        <f>E26-E25</f>
        <v>0</v>
      </c>
      <c r="F41" s="23" t="s">
        <v>99</v>
      </c>
      <c r="G41"/>
    </row>
    <row r="42" spans="1:11" ht="15.75" x14ac:dyDescent="0.2">
      <c r="A42" s="9" t="s">
        <v>15</v>
      </c>
      <c r="B42" s="5"/>
      <c r="C42" s="5"/>
      <c r="D42" s="6"/>
      <c r="E42" s="7"/>
    </row>
    <row r="43" spans="1:11" x14ac:dyDescent="0.2">
      <c r="A43" s="149"/>
      <c r="B43" s="149"/>
      <c r="C43" s="149"/>
      <c r="D43" s="149"/>
      <c r="E43" s="149"/>
      <c r="F43" s="73"/>
    </row>
    <row r="44" spans="1:11" ht="14.25" customHeight="1" x14ac:dyDescent="0.2">
      <c r="A44" s="71"/>
      <c r="B44" s="71"/>
      <c r="C44" s="71"/>
      <c r="D44" s="71"/>
      <c r="E44" s="71"/>
      <c r="F44" s="71"/>
    </row>
    <row r="45" spans="1:11" ht="15.75" x14ac:dyDescent="0.25">
      <c r="A45" s="12" t="s">
        <v>44</v>
      </c>
      <c r="E45" s="8"/>
    </row>
    <row r="46" spans="1:11" ht="15.75" x14ac:dyDescent="0.25">
      <c r="A46" s="11" t="s">
        <v>34</v>
      </c>
      <c r="E46" s="8"/>
    </row>
  </sheetData>
  <mergeCells count="10">
    <mergeCell ref="D13:D14"/>
    <mergeCell ref="E13:E14"/>
    <mergeCell ref="A43:E43"/>
    <mergeCell ref="A7:E7"/>
    <mergeCell ref="A8:E8"/>
    <mergeCell ref="A9:E9"/>
    <mergeCell ref="A10:E10"/>
    <mergeCell ref="A13:A14"/>
    <mergeCell ref="B13:B14"/>
    <mergeCell ref="C13:C14"/>
  </mergeCells>
  <conditionalFormatting sqref="D41">
    <cfRule type="cellIs" dxfId="26" priority="18" stopIfTrue="1" operator="equal">
      <formula>0</formula>
    </cfRule>
    <cfRule type="cellIs" dxfId="25" priority="19" stopIfTrue="1" operator="greaterThan">
      <formula>0</formula>
    </cfRule>
  </conditionalFormatting>
  <conditionalFormatting sqref="D41">
    <cfRule type="cellIs" dxfId="24" priority="4" stopIfTrue="1" operator="equal">
      <formula>0</formula>
    </cfRule>
    <cfRule type="cellIs" dxfId="23" priority="5" stopIfTrue="1" operator="lessThan">
      <formula>0</formula>
    </cfRule>
    <cfRule type="cellIs" dxfId="22" priority="6" stopIfTrue="1" operator="greaterThan">
      <formula>0</formula>
    </cfRule>
    <cfRule type="cellIs" priority="7" stopIfTrue="1" operator="notEqual">
      <formula>0</formula>
    </cfRule>
    <cfRule type="cellIs" priority="8" stopIfTrue="1" operator="notEqual">
      <formula>0</formula>
    </cfRule>
    <cfRule type="cellIs" dxfId="21" priority="9" stopIfTrue="1" operator="equal">
      <formula>0</formula>
    </cfRule>
    <cfRule type="cellIs" dxfId="20" priority="11" stopIfTrue="1" operator="greaterThan">
      <formula>0.0001</formula>
    </cfRule>
    <cfRule type="cellIs" dxfId="19" priority="12" stopIfTrue="1" operator="greaterThan">
      <formula>0</formula>
    </cfRule>
    <cfRule type="cellIs" dxfId="18" priority="17" stopIfTrue="1" operator="lessThan">
      <formula>0</formula>
    </cfRule>
  </conditionalFormatting>
  <conditionalFormatting sqref="E41">
    <cfRule type="cellIs" dxfId="17" priority="14" stopIfTrue="1" operator="equal">
      <formula>0</formula>
    </cfRule>
    <cfRule type="cellIs" dxfId="16" priority="15" stopIfTrue="1" operator="greaterThan">
      <formula>0</formula>
    </cfRule>
  </conditionalFormatting>
  <conditionalFormatting sqref="E41">
    <cfRule type="cellIs" dxfId="15" priority="13" stopIfTrue="1" operator="lessThan">
      <formula>0</formula>
    </cfRule>
  </conditionalFormatting>
  <conditionalFormatting sqref="D36">
    <cfRule type="cellIs" dxfId="14" priority="3" stopIfTrue="1" operator="lessThan">
      <formula>0.077</formula>
    </cfRule>
  </conditionalFormatting>
  <conditionalFormatting sqref="D31">
    <cfRule type="cellIs" dxfId="13" priority="2" stopIfTrue="1" operator="notEqual">
      <formula>$D$27*0.302</formula>
    </cfRule>
  </conditionalFormatting>
  <conditionalFormatting sqref="D26">
    <cfRule type="cellIs" dxfId="12" priority="1" stopIfTrue="1" operator="notEqual">
      <formula>1</formula>
    </cfRule>
  </conditionalFormatting>
  <pageMargins left="0.75" right="0.75" top="1" bottom="1" header="0.5" footer="0.5"/>
  <pageSetup paperSize="9" scale="71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K44"/>
  <sheetViews>
    <sheetView tabSelected="1" zoomScale="90" zoomScaleNormal="90" workbookViewId="0">
      <selection activeCell="G25" sqref="G25"/>
    </sheetView>
  </sheetViews>
  <sheetFormatPr defaultRowHeight="12.75" x14ac:dyDescent="0.2"/>
  <cols>
    <col min="1" max="1" width="56.28515625" customWidth="1"/>
    <col min="3" max="3" width="9.7109375" customWidth="1"/>
    <col min="4" max="4" width="15.7109375" bestFit="1" customWidth="1"/>
    <col min="5" max="5" width="12.85546875" bestFit="1" customWidth="1"/>
    <col min="7" max="7" width="14.140625" bestFit="1" customWidth="1"/>
    <col min="8" max="8" width="14.85546875" bestFit="1" customWidth="1"/>
    <col min="9" max="9" width="10.140625" bestFit="1" customWidth="1"/>
  </cols>
  <sheetData>
    <row r="1" spans="1:7" ht="15.75" x14ac:dyDescent="0.25">
      <c r="B1" s="1" t="s">
        <v>0</v>
      </c>
      <c r="C1" s="1"/>
      <c r="E1" s="2"/>
      <c r="G1" s="22"/>
    </row>
    <row r="2" spans="1:7" ht="15.75" x14ac:dyDescent="0.25">
      <c r="B2" s="12" t="s">
        <v>27</v>
      </c>
      <c r="C2" s="1"/>
      <c r="E2" s="2"/>
      <c r="G2" s="22"/>
    </row>
    <row r="3" spans="1:7" ht="15" customHeight="1" x14ac:dyDescent="0.25">
      <c r="B3" s="13" t="s">
        <v>29</v>
      </c>
      <c r="C3" s="1"/>
      <c r="E3" s="2"/>
      <c r="G3" s="22"/>
    </row>
    <row r="4" spans="1:7" ht="15.75" x14ac:dyDescent="0.25">
      <c r="B4" s="1" t="s">
        <v>24</v>
      </c>
      <c r="C4" s="1"/>
      <c r="E4" s="2"/>
      <c r="G4" s="22"/>
    </row>
    <row r="5" spans="1:7" ht="15.75" x14ac:dyDescent="0.25">
      <c r="B5" s="11" t="s">
        <v>28</v>
      </c>
      <c r="C5" s="1"/>
      <c r="E5" s="2"/>
      <c r="G5" s="22"/>
    </row>
    <row r="6" spans="1:7" ht="15.75" x14ac:dyDescent="0.25">
      <c r="B6" s="1" t="s">
        <v>40</v>
      </c>
      <c r="C6" s="1"/>
      <c r="E6" s="2"/>
      <c r="G6" s="22"/>
    </row>
    <row r="7" spans="1:7" ht="18.75" x14ac:dyDescent="0.3">
      <c r="A7" s="153" t="s">
        <v>1</v>
      </c>
      <c r="B7" s="153"/>
      <c r="C7" s="153"/>
      <c r="D7" s="153"/>
      <c r="E7" s="153"/>
      <c r="G7" s="22"/>
    </row>
    <row r="8" spans="1:7" ht="15.75" x14ac:dyDescent="0.25">
      <c r="A8" s="154" t="s">
        <v>2</v>
      </c>
      <c r="B8" s="154"/>
      <c r="C8" s="154"/>
      <c r="D8" s="154"/>
      <c r="E8" s="154"/>
      <c r="G8" s="22"/>
    </row>
    <row r="9" spans="1:7" ht="14.25" x14ac:dyDescent="0.2">
      <c r="A9" s="152" t="s">
        <v>112</v>
      </c>
      <c r="B9" s="152"/>
      <c r="C9" s="152"/>
      <c r="D9" s="152"/>
      <c r="E9" s="152"/>
      <c r="G9" s="22"/>
    </row>
    <row r="10" spans="1:7" ht="15.75" x14ac:dyDescent="0.25">
      <c r="A10" s="150" t="s">
        <v>121</v>
      </c>
      <c r="B10" s="150"/>
      <c r="C10" s="150"/>
      <c r="D10" s="150"/>
      <c r="E10" s="150"/>
    </row>
    <row r="11" spans="1:7" ht="14.25" x14ac:dyDescent="0.2">
      <c r="A11" s="166" t="s">
        <v>128</v>
      </c>
      <c r="B11" s="166"/>
      <c r="C11" s="166"/>
      <c r="D11" s="166"/>
      <c r="E11" s="166"/>
      <c r="G11" s="66"/>
    </row>
    <row r="12" spans="1:7" ht="15.75" x14ac:dyDescent="0.25">
      <c r="A12" s="3"/>
      <c r="E12" s="2"/>
    </row>
    <row r="13" spans="1:7" x14ac:dyDescent="0.2">
      <c r="A13" s="66" t="s">
        <v>113</v>
      </c>
      <c r="E13" s="2"/>
    </row>
    <row r="14" spans="1:7" ht="12.75" customHeight="1" x14ac:dyDescent="0.2">
      <c r="A14" s="155" t="s">
        <v>3</v>
      </c>
      <c r="B14" s="157" t="s">
        <v>17</v>
      </c>
      <c r="C14" s="157" t="s">
        <v>16</v>
      </c>
      <c r="D14" s="159" t="s">
        <v>4</v>
      </c>
      <c r="E14" s="160" t="s">
        <v>5</v>
      </c>
    </row>
    <row r="15" spans="1:7" x14ac:dyDescent="0.2">
      <c r="A15" s="155"/>
      <c r="B15" s="158"/>
      <c r="C15" s="158"/>
      <c r="D15" s="159"/>
      <c r="E15" s="160"/>
    </row>
    <row r="16" spans="1:7" s="14" customFormat="1" ht="11.25" x14ac:dyDescent="0.2">
      <c r="A16" s="19">
        <v>1</v>
      </c>
      <c r="B16" s="19">
        <v>2</v>
      </c>
      <c r="C16" s="19">
        <v>3</v>
      </c>
      <c r="D16" s="19">
        <v>4</v>
      </c>
      <c r="E16" s="20">
        <v>5</v>
      </c>
    </row>
    <row r="17" spans="1:11" ht="15.75" customHeight="1" x14ac:dyDescent="0.25">
      <c r="A17" s="37" t="s">
        <v>79</v>
      </c>
      <c r="B17" s="16"/>
      <c r="C17" s="16"/>
      <c r="D17" s="24">
        <v>100</v>
      </c>
      <c r="E17" s="36">
        <v>10000000</v>
      </c>
      <c r="F17" s="108"/>
      <c r="G17" s="107" t="str">
        <f>IF(OR(D28&lt;&gt;(D24*0.302),D23&lt;&gt;1),"ВНИМАНИЕ"," ")</f>
        <v xml:space="preserve"> </v>
      </c>
      <c r="H17" s="108"/>
      <c r="I17" s="108"/>
      <c r="J17" s="108"/>
      <c r="K17" s="108"/>
    </row>
    <row r="18" spans="1:11" ht="15.75" customHeight="1" x14ac:dyDescent="0.2">
      <c r="A18" s="37" t="s">
        <v>127</v>
      </c>
      <c r="B18" s="16"/>
      <c r="C18" s="16"/>
      <c r="D18" s="109">
        <f>E18/E17*100</f>
        <v>50</v>
      </c>
      <c r="E18" s="36">
        <v>5000000</v>
      </c>
      <c r="F18" s="108"/>
      <c r="G18" s="108"/>
      <c r="H18" s="108"/>
      <c r="I18" s="108"/>
      <c r="J18" s="108"/>
      <c r="K18" s="108"/>
    </row>
    <row r="19" spans="1:11" ht="15.75" customHeight="1" x14ac:dyDescent="0.2">
      <c r="A19" s="37" t="s">
        <v>111</v>
      </c>
      <c r="B19" s="16"/>
      <c r="C19" s="16"/>
      <c r="D19" s="109">
        <f>E19/E17*100</f>
        <v>50</v>
      </c>
      <c r="E19" s="36">
        <f>E17-E18</f>
        <v>5000000</v>
      </c>
      <c r="F19" s="108"/>
      <c r="G19" s="108"/>
      <c r="H19" s="108"/>
      <c r="I19" s="108"/>
      <c r="J19" s="108"/>
      <c r="K19" s="108"/>
    </row>
    <row r="20" spans="1:11" ht="22.5" customHeight="1" x14ac:dyDescent="0.2">
      <c r="A20" s="16" t="s">
        <v>80</v>
      </c>
      <c r="B20" s="16"/>
      <c r="C20" s="16"/>
      <c r="D20" s="26">
        <v>32</v>
      </c>
      <c r="E20" s="25">
        <f>ROUND($E$19*D20/100,2)</f>
        <v>1600000</v>
      </c>
      <c r="F20" s="108"/>
      <c r="G20" s="108"/>
      <c r="H20" s="108"/>
      <c r="I20" s="108"/>
      <c r="J20" s="108"/>
      <c r="K20" s="108"/>
    </row>
    <row r="21" spans="1:11" ht="15.75" customHeight="1" x14ac:dyDescent="0.2">
      <c r="A21" s="16" t="s">
        <v>81</v>
      </c>
      <c r="B21" s="37"/>
      <c r="C21" s="37"/>
      <c r="D21" s="26">
        <f>D17-D20</f>
        <v>68</v>
      </c>
      <c r="E21" s="25">
        <f>E19-E20</f>
        <v>3400000</v>
      </c>
      <c r="F21" s="108"/>
      <c r="G21" s="108"/>
      <c r="H21" s="108"/>
      <c r="I21" s="108"/>
      <c r="J21" s="108"/>
      <c r="K21" s="108"/>
    </row>
    <row r="22" spans="1:11" ht="15.95" customHeight="1" x14ac:dyDescent="0.2">
      <c r="A22" s="16" t="s">
        <v>82</v>
      </c>
      <c r="B22" s="21"/>
      <c r="C22" s="21"/>
      <c r="D22" s="24" t="s">
        <v>94</v>
      </c>
      <c r="E22" s="25">
        <f>E21</f>
        <v>3400000</v>
      </c>
      <c r="F22" s="108"/>
      <c r="G22" s="108"/>
      <c r="H22" s="108"/>
      <c r="I22" s="108"/>
      <c r="J22" s="108"/>
      <c r="K22" s="108"/>
    </row>
    <row r="23" spans="1:11" x14ac:dyDescent="0.2">
      <c r="A23" s="34" t="s">
        <v>33</v>
      </c>
      <c r="B23" s="16"/>
      <c r="C23" s="16"/>
      <c r="D23" s="93">
        <f>SUM(D24:D36)</f>
        <v>1.0000000000000002</v>
      </c>
      <c r="E23" s="36">
        <f>SUM(E24:E36)</f>
        <v>3400000</v>
      </c>
      <c r="F23" s="108"/>
      <c r="G23" s="88" t="str">
        <f>IF(D23=1," ","СУММА ПРОЦЕНТОВ НЕ РАВНА 100")</f>
        <v xml:space="preserve"> </v>
      </c>
      <c r="H23" s="108"/>
      <c r="I23" s="108"/>
      <c r="J23" s="108"/>
      <c r="K23" s="108"/>
    </row>
    <row r="24" spans="1:11" x14ac:dyDescent="0.2">
      <c r="A24" s="34" t="s">
        <v>83</v>
      </c>
      <c r="B24" s="21">
        <v>111</v>
      </c>
      <c r="C24" s="21">
        <v>211</v>
      </c>
      <c r="D24" s="94">
        <v>0.55000000000000004</v>
      </c>
      <c r="E24" s="110">
        <f>$E$22*D24</f>
        <v>1870000.0000000002</v>
      </c>
      <c r="F24" s="108"/>
      <c r="G24" s="108"/>
      <c r="H24" s="108"/>
      <c r="I24" s="108"/>
      <c r="J24" s="108"/>
      <c r="K24" s="108"/>
    </row>
    <row r="25" spans="1:11" x14ac:dyDescent="0.2">
      <c r="A25" s="111" t="s">
        <v>95</v>
      </c>
      <c r="B25" s="21">
        <v>112</v>
      </c>
      <c r="C25" s="21">
        <v>212</v>
      </c>
      <c r="D25" s="182">
        <v>0</v>
      </c>
      <c r="E25" s="112">
        <f>$E$22*D25</f>
        <v>0</v>
      </c>
      <c r="F25" s="108"/>
      <c r="G25" s="108"/>
      <c r="H25" s="108"/>
      <c r="I25" s="108"/>
      <c r="J25" s="108"/>
      <c r="K25" s="108"/>
    </row>
    <row r="26" spans="1:11" ht="33.75" x14ac:dyDescent="0.2">
      <c r="A26" s="15" t="s">
        <v>96</v>
      </c>
      <c r="B26" s="21">
        <v>112</v>
      </c>
      <c r="C26" s="21">
        <v>226</v>
      </c>
      <c r="D26" s="182">
        <v>0</v>
      </c>
      <c r="E26" s="112">
        <f t="shared" ref="E26:E36" si="0">$E$22*D26</f>
        <v>0</v>
      </c>
      <c r="F26" s="108"/>
      <c r="G26" s="108"/>
      <c r="H26" s="108"/>
      <c r="I26" s="108"/>
      <c r="J26" s="108"/>
      <c r="K26" s="108"/>
    </row>
    <row r="27" spans="1:11" ht="33.75" x14ac:dyDescent="0.2">
      <c r="A27" s="15" t="s">
        <v>84</v>
      </c>
      <c r="B27" s="21">
        <v>113</v>
      </c>
      <c r="C27" s="21">
        <v>226</v>
      </c>
      <c r="D27" s="182">
        <v>0</v>
      </c>
      <c r="E27" s="112">
        <f t="shared" si="0"/>
        <v>0</v>
      </c>
      <c r="F27" s="108"/>
      <c r="G27" s="108"/>
      <c r="H27" s="108"/>
      <c r="I27" s="108"/>
      <c r="J27" s="108"/>
      <c r="K27" s="108"/>
    </row>
    <row r="28" spans="1:11" x14ac:dyDescent="0.2">
      <c r="A28" s="34" t="s">
        <v>85</v>
      </c>
      <c r="B28" s="21">
        <v>119</v>
      </c>
      <c r="C28" s="21">
        <v>213</v>
      </c>
      <c r="D28" s="94">
        <f>D24*0.302</f>
        <v>0.1661</v>
      </c>
      <c r="E28" s="110">
        <f>$E$22*D28</f>
        <v>564740</v>
      </c>
      <c r="F28" s="108"/>
      <c r="G28" s="88" t="str">
        <f>IF((D28=(D24*0.302))," ","СТРАХОВЫЕ ВЫПЛАТЫ НЕ РАВНЫ 30,2% ОТ 111/211")</f>
        <v xml:space="preserve"> </v>
      </c>
      <c r="H28" s="108"/>
      <c r="I28" s="108"/>
      <c r="J28" s="108"/>
      <c r="K28" s="108"/>
    </row>
    <row r="29" spans="1:11" x14ac:dyDescent="0.2">
      <c r="A29" s="16" t="s">
        <v>86</v>
      </c>
      <c r="B29" s="21">
        <v>244</v>
      </c>
      <c r="C29" s="21">
        <v>221</v>
      </c>
      <c r="D29" s="182">
        <v>0</v>
      </c>
      <c r="E29" s="112">
        <f t="shared" si="0"/>
        <v>0</v>
      </c>
      <c r="F29" s="108"/>
      <c r="G29" s="108"/>
      <c r="H29" s="108"/>
      <c r="I29" s="108"/>
      <c r="J29" s="108"/>
      <c r="K29" s="108"/>
    </row>
    <row r="30" spans="1:11" x14ac:dyDescent="0.2">
      <c r="A30" s="16" t="s">
        <v>87</v>
      </c>
      <c r="B30" s="21">
        <v>244</v>
      </c>
      <c r="C30" s="21">
        <v>222</v>
      </c>
      <c r="D30" s="182">
        <v>0.02</v>
      </c>
      <c r="E30" s="112">
        <f t="shared" si="0"/>
        <v>68000</v>
      </c>
      <c r="F30" s="108"/>
      <c r="G30" s="108"/>
      <c r="H30" s="108"/>
      <c r="I30" s="108"/>
      <c r="J30" s="108"/>
      <c r="K30" s="108"/>
    </row>
    <row r="31" spans="1:11" x14ac:dyDescent="0.2">
      <c r="A31" s="16" t="s">
        <v>88</v>
      </c>
      <c r="B31" s="21">
        <v>244</v>
      </c>
      <c r="C31" s="21">
        <v>223</v>
      </c>
      <c r="D31" s="182">
        <v>0</v>
      </c>
      <c r="E31" s="112">
        <f t="shared" si="0"/>
        <v>0</v>
      </c>
      <c r="F31" s="108"/>
      <c r="G31" s="108"/>
      <c r="H31" s="108"/>
      <c r="I31" s="108"/>
      <c r="J31" s="108"/>
      <c r="K31" s="108"/>
    </row>
    <row r="32" spans="1:11" x14ac:dyDescent="0.2">
      <c r="A32" s="16" t="s">
        <v>89</v>
      </c>
      <c r="B32" s="21">
        <v>244</v>
      </c>
      <c r="C32" s="21">
        <v>224</v>
      </c>
      <c r="D32" s="182">
        <v>0.02</v>
      </c>
      <c r="E32" s="112">
        <f t="shared" si="0"/>
        <v>68000</v>
      </c>
      <c r="F32" s="108"/>
      <c r="G32" s="108"/>
      <c r="H32" s="108"/>
      <c r="I32" s="108"/>
      <c r="J32" s="108"/>
      <c r="K32" s="108"/>
    </row>
    <row r="33" spans="1:11" x14ac:dyDescent="0.2">
      <c r="A33" s="34" t="s">
        <v>90</v>
      </c>
      <c r="B33" s="21">
        <v>244</v>
      </c>
      <c r="C33" s="21">
        <v>225</v>
      </c>
      <c r="D33" s="94">
        <v>7.7299999999999994E-2</v>
      </c>
      <c r="E33" s="110">
        <f>$E$22*D33</f>
        <v>262820</v>
      </c>
      <c r="F33" s="108"/>
      <c r="G33" s="108"/>
      <c r="H33" s="108"/>
      <c r="I33" s="108"/>
      <c r="J33" s="108"/>
      <c r="K33" s="108"/>
    </row>
    <row r="34" spans="1:11" x14ac:dyDescent="0.2">
      <c r="A34" s="16" t="s">
        <v>91</v>
      </c>
      <c r="B34" s="21">
        <v>244</v>
      </c>
      <c r="C34" s="21">
        <v>226</v>
      </c>
      <c r="D34" s="182">
        <v>0.02</v>
      </c>
      <c r="E34" s="112">
        <f t="shared" si="0"/>
        <v>68000</v>
      </c>
      <c r="F34" s="108"/>
      <c r="G34" s="108"/>
      <c r="H34" s="108"/>
      <c r="I34" s="108"/>
      <c r="J34" s="108"/>
      <c r="K34" s="108"/>
    </row>
    <row r="35" spans="1:11" x14ac:dyDescent="0.2">
      <c r="A35" s="16" t="s">
        <v>92</v>
      </c>
      <c r="B35" s="21">
        <v>244</v>
      </c>
      <c r="C35" s="21">
        <v>310</v>
      </c>
      <c r="D35" s="182">
        <v>0</v>
      </c>
      <c r="E35" s="112">
        <f t="shared" si="0"/>
        <v>0</v>
      </c>
      <c r="F35" s="108"/>
      <c r="G35" s="108"/>
      <c r="H35" s="108"/>
      <c r="I35" s="108"/>
      <c r="J35" s="108"/>
      <c r="K35" s="108"/>
    </row>
    <row r="36" spans="1:11" x14ac:dyDescent="0.2">
      <c r="A36" s="16" t="s">
        <v>93</v>
      </c>
      <c r="B36" s="21">
        <v>244</v>
      </c>
      <c r="C36" s="21">
        <v>340</v>
      </c>
      <c r="D36" s="182">
        <v>0.14660000000000001</v>
      </c>
      <c r="E36" s="112">
        <f t="shared" si="0"/>
        <v>498440</v>
      </c>
      <c r="F36" s="108"/>
      <c r="G36" s="108"/>
      <c r="H36" s="108"/>
      <c r="I36" s="108"/>
      <c r="J36" s="108"/>
      <c r="K36" s="108"/>
    </row>
    <row r="37" spans="1:11" x14ac:dyDescent="0.2">
      <c r="A37" s="77" t="s">
        <v>98</v>
      </c>
      <c r="B37" s="78"/>
      <c r="C37" s="78"/>
      <c r="D37" s="79">
        <f>D23-1</f>
        <v>0</v>
      </c>
      <c r="E37" s="80">
        <f>E23-E22</f>
        <v>0</v>
      </c>
      <c r="F37" s="23" t="s">
        <v>99</v>
      </c>
    </row>
    <row r="38" spans="1:11" x14ac:dyDescent="0.2">
      <c r="A38" s="73"/>
      <c r="B38" s="113"/>
      <c r="C38" s="113"/>
      <c r="D38" s="114"/>
      <c r="E38" s="115"/>
      <c r="F38" s="108"/>
      <c r="G38" s="108"/>
      <c r="H38" s="108"/>
      <c r="I38" s="108"/>
      <c r="J38" s="108"/>
      <c r="K38" s="108"/>
    </row>
    <row r="39" spans="1:11" ht="15.75" x14ac:dyDescent="0.25">
      <c r="A39" s="9" t="s">
        <v>15</v>
      </c>
      <c r="E39" s="8"/>
      <c r="F39" s="108"/>
      <c r="G39" s="108"/>
      <c r="H39" s="108"/>
      <c r="I39" s="108"/>
      <c r="J39" s="108"/>
      <c r="K39" s="108"/>
    </row>
    <row r="40" spans="1:11" ht="15" x14ac:dyDescent="0.25">
      <c r="A40" s="178"/>
      <c r="B40" s="178"/>
      <c r="C40" s="178"/>
      <c r="D40" s="178"/>
      <c r="E40" s="178"/>
      <c r="F40" s="117"/>
      <c r="G40" s="108"/>
      <c r="H40" s="108"/>
      <c r="I40" s="108"/>
      <c r="J40" s="108"/>
      <c r="K40" s="108"/>
    </row>
    <row r="41" spans="1:11" ht="18" customHeight="1" x14ac:dyDescent="0.25">
      <c r="A41" s="116"/>
      <c r="B41" s="116"/>
      <c r="C41" s="116"/>
      <c r="D41" s="116"/>
      <c r="E41" s="116"/>
      <c r="F41" s="117"/>
      <c r="G41" s="108"/>
      <c r="H41" s="108"/>
      <c r="I41" s="108"/>
      <c r="J41" s="108"/>
      <c r="K41" s="108"/>
    </row>
    <row r="42" spans="1:11" ht="15.75" x14ac:dyDescent="0.25">
      <c r="A42" s="12" t="s">
        <v>44</v>
      </c>
      <c r="E42" s="8"/>
      <c r="G42" s="22"/>
    </row>
    <row r="43" spans="1:11" ht="15.75" x14ac:dyDescent="0.25">
      <c r="A43" s="11" t="s">
        <v>34</v>
      </c>
      <c r="E43" s="8"/>
      <c r="G43" s="22"/>
    </row>
    <row r="44" spans="1:11" x14ac:dyDescent="0.2">
      <c r="A44" s="12"/>
      <c r="B44" s="12"/>
      <c r="C44" s="12"/>
      <c r="D44" s="12"/>
      <c r="E44" s="12"/>
    </row>
  </sheetData>
  <mergeCells count="11">
    <mergeCell ref="D14:D15"/>
    <mergeCell ref="E14:E15"/>
    <mergeCell ref="A40:E40"/>
    <mergeCell ref="A7:E7"/>
    <mergeCell ref="A8:E8"/>
    <mergeCell ref="A9:E9"/>
    <mergeCell ref="A10:E10"/>
    <mergeCell ref="A11:E11"/>
    <mergeCell ref="A14:A15"/>
    <mergeCell ref="B14:B15"/>
    <mergeCell ref="C14:C15"/>
  </mergeCells>
  <conditionalFormatting sqref="D37">
    <cfRule type="cellIs" dxfId="11" priority="13" stopIfTrue="1" operator="equal">
      <formula>0</formula>
    </cfRule>
    <cfRule type="cellIs" dxfId="10" priority="14" stopIfTrue="1" operator="greaterThan">
      <formula>0</formula>
    </cfRule>
  </conditionalFormatting>
  <conditionalFormatting sqref="D37">
    <cfRule type="cellIs" dxfId="9" priority="1" stopIfTrue="1" operator="equal">
      <formula>0</formula>
    </cfRule>
    <cfRule type="cellIs" dxfId="8" priority="2" stopIfTrue="1" operator="lessThan">
      <formula>0</formula>
    </cfRule>
    <cfRule type="cellIs" dxfId="7" priority="3" stopIfTrue="1" operator="greaterThan">
      <formula>0</formula>
    </cfRule>
    <cfRule type="cellIs" priority="4" stopIfTrue="1" operator="notEqual">
      <formula>0</formula>
    </cfRule>
    <cfRule type="cellIs" priority="5" stopIfTrue="1" operator="notEqual">
      <formula>0</formula>
    </cfRule>
    <cfRule type="cellIs" dxfId="6" priority="6" stopIfTrue="1" operator="equal">
      <formula>0</formula>
    </cfRule>
    <cfRule type="cellIs" dxfId="5" priority="7" stopIfTrue="1" operator="greaterThan">
      <formula>0.0001</formula>
    </cfRule>
    <cfRule type="cellIs" dxfId="4" priority="8" stopIfTrue="1" operator="greaterThan">
      <formula>0</formula>
    </cfRule>
    <cfRule type="cellIs" dxfId="3" priority="12" stopIfTrue="1" operator="lessThan">
      <formula>0</formula>
    </cfRule>
  </conditionalFormatting>
  <conditionalFormatting sqref="E37">
    <cfRule type="cellIs" dxfId="2" priority="10" stopIfTrue="1" operator="equal">
      <formula>0</formula>
    </cfRule>
    <cfRule type="cellIs" dxfId="1" priority="11" stopIfTrue="1" operator="greaterThan">
      <formula>0</formula>
    </cfRule>
  </conditionalFormatting>
  <conditionalFormatting sqref="E37">
    <cfRule type="cellIs" dxfId="0" priority="9" stopIfTrue="1" operator="lessThan">
      <formula>0</formula>
    </cfRule>
  </conditionalFormatting>
  <pageMargins left="0.75" right="0.75" top="1" bottom="1" header="0.5" footer="0.5"/>
  <pageSetup paperSize="9" scale="7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Инструкция по сост-ю Смет</vt:lpstr>
      <vt:lpstr>1. Выпуск. кафедра</vt:lpstr>
      <vt:lpstr>2. Невып. кафедра</vt:lpstr>
      <vt:lpstr>3. ДООПиДПП</vt:lpstr>
      <vt:lpstr>4. ДООП сет. (СПбПУ участник)</vt:lpstr>
      <vt:lpstr>5. ДООП сет. (СПбПУ база)</vt:lpstr>
      <vt:lpstr>6. Дирекция</vt:lpstr>
      <vt:lpstr>7. ОПОП ВО сет. (СПбПУ уч.)</vt:lpstr>
      <vt:lpstr>8. ОПОП ВО сет. (СПбПУ база)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</dc:creator>
  <cp:lastModifiedBy>Урусова Алена Дмитриевна</cp:lastModifiedBy>
  <cp:lastPrinted>2021-09-28T12:57:07Z</cp:lastPrinted>
  <dcterms:created xsi:type="dcterms:W3CDTF">2014-10-02T06:32:09Z</dcterms:created>
  <dcterms:modified xsi:type="dcterms:W3CDTF">2026-02-26T09:24:10Z</dcterms:modified>
</cp:coreProperties>
</file>